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0" yWindow="0" windowWidth="20730" windowHeight="11760" tabRatio="808" firstSheet="37" activeTab="48"/>
  </bookViews>
  <sheets>
    <sheet name="OP CHAINS" sheetId="1" r:id="rId1"/>
    <sheet name="JUNCTION" sheetId="2" r:id="rId2"/>
    <sheet name="LOYAL" sheetId="3" r:id="rId3"/>
    <sheet name="EMKAY" sheetId="4" r:id="rId4"/>
    <sheet name="UNIVERSAL AUTOFOUNDRY" sheetId="5" r:id="rId5"/>
    <sheet name="BELLA CASA" sheetId="6" r:id="rId6"/>
    <sheet name="VISHAL BEARING" sheetId="7" r:id="rId7"/>
    <sheet name="ARAMBHAN" sheetId="8" r:id="rId8"/>
    <sheet name="RAGHAV" sheetId="9" r:id="rId9"/>
    <sheet name="MBAPL" sheetId="10" r:id="rId10"/>
    <sheet name="ADL" sheetId="11" r:id="rId11"/>
    <sheet name="PDL" sheetId="12" r:id="rId12"/>
    <sheet name="GICL" sheetId="13" r:id="rId13"/>
    <sheet name="DHANUKA" sheetId="14" r:id="rId14"/>
    <sheet name="ART NIRMAN" sheetId="15" r:id="rId15"/>
    <sheet name="KPL" sheetId="16" r:id="rId16"/>
    <sheet name="RMC" sheetId="17" r:id="rId17"/>
    <sheet name="GLOBAL EDUCATION" sheetId="18" r:id="rId18"/>
    <sheet name="LAXMI COTSPIN" sheetId="19" r:id="rId19"/>
    <sheet name="Dev IT" sheetId="52" r:id="rId20"/>
    <sheet name="VSCL" sheetId="21" r:id="rId21"/>
    <sheet name="GLOBE TEXTILE" sheetId="22" r:id="rId22"/>
    <sheet name="ACCORD SYNERGY" sheetId="23" r:id="rId23"/>
    <sheet name="CTL" sheetId="24" r:id="rId24"/>
    <sheet name="SHANTI OVERSEAS" sheetId="25" r:id="rId25"/>
    <sheet name="SUREVIN" sheetId="26" r:id="rId26"/>
    <sheet name="PASHUPATI" sheetId="27" r:id="rId27"/>
    <sheet name="SHARE INDIA" sheetId="28" r:id="rId28"/>
    <sheet name="RKEC" sheetId="29" r:id="rId29"/>
    <sheet name="D.P. ABHUSHAN" sheetId="30" r:id="rId30"/>
    <sheet name="ANI INTEGRATED" sheetId="31" r:id="rId31"/>
    <sheet name="DYNAMIC CABLES" sheetId="32" r:id="rId32"/>
    <sheet name="VASA RETAIL" sheetId="33" r:id="rId33"/>
    <sheet name="HINDCON" sheetId="34" r:id="rId34"/>
    <sheet name="TARACHAND" sheetId="35" r:id="rId35"/>
    <sheet name="DHRUV" sheetId="36" r:id="rId36"/>
    <sheet name="SONAM" sheetId="37" r:id="rId37"/>
    <sheet name="PARIN" sheetId="38" r:id="rId38"/>
    <sheet name="KRITIKA" sheetId="39" r:id="rId39"/>
    <sheet name="MINDPOOL" sheetId="40" r:id="rId40"/>
    <sheet name="VR Films" sheetId="49" r:id="rId41"/>
    <sheet name="Evans" sheetId="50" r:id="rId42"/>
    <sheet name="Earum" sheetId="51" r:id="rId43"/>
    <sheet name="Gian Life Care" sheetId="44" r:id="rId44"/>
    <sheet name="Hind Prakash" sheetId="45" r:id="rId45"/>
    <sheet name="SM Auto" sheetId="46" r:id="rId46"/>
    <sheet name="Suratwala" sheetId="54" r:id="rId47"/>
    <sheet name="KMEW" sheetId="55" r:id="rId48"/>
    <sheet name="EKI" sheetId="53" r:id="rId49"/>
  </sheets>
  <calcPr calcId="144525"/>
</workbook>
</file>

<file path=xl/calcChain.xml><?xml version="1.0" encoding="utf-8"?>
<calcChain xmlns="http://schemas.openxmlformats.org/spreadsheetml/2006/main">
  <c r="F121" i="52" l="1"/>
  <c r="D121" i="52"/>
  <c r="F120" i="52"/>
  <c r="E120" i="52"/>
  <c r="F119" i="52"/>
  <c r="E119" i="52"/>
  <c r="F118" i="52"/>
  <c r="E118" i="52"/>
  <c r="E117" i="52"/>
  <c r="F116" i="52"/>
  <c r="E116" i="52"/>
  <c r="G115" i="52"/>
  <c r="G121" i="52" s="1"/>
  <c r="F114" i="52"/>
  <c r="E114" i="52"/>
  <c r="E121" i="52" s="1"/>
  <c r="G112" i="52"/>
  <c r="F112" i="52"/>
  <c r="G111" i="52"/>
  <c r="D111" i="52"/>
  <c r="F110" i="52"/>
  <c r="E110" i="52"/>
  <c r="F109" i="52"/>
  <c r="E109" i="52"/>
  <c r="F108" i="52"/>
  <c r="E108" i="52"/>
  <c r="E107" i="52"/>
  <c r="E111" i="52" s="1"/>
  <c r="F106" i="52"/>
  <c r="F111" i="52" s="1"/>
  <c r="E106" i="52"/>
  <c r="G105" i="52"/>
  <c r="F104" i="52"/>
  <c r="E104" i="52"/>
  <c r="G102" i="52"/>
  <c r="F102" i="52"/>
  <c r="D101" i="52"/>
  <c r="F100" i="52"/>
  <c r="E100" i="52"/>
  <c r="F99" i="52"/>
  <c r="E99" i="52"/>
  <c r="F98" i="52"/>
  <c r="E98" i="52"/>
  <c r="E97" i="52"/>
  <c r="F96" i="52"/>
  <c r="E96" i="52"/>
  <c r="F94" i="52"/>
  <c r="F101" i="52" s="1"/>
  <c r="E94" i="52"/>
  <c r="E101" i="52" s="1"/>
  <c r="G92" i="52"/>
  <c r="F92" i="52"/>
  <c r="G91" i="52"/>
  <c r="F91" i="52"/>
  <c r="E91" i="52"/>
  <c r="D91" i="52"/>
  <c r="E95" i="55" l="1"/>
  <c r="E84" i="55"/>
  <c r="D95" i="55"/>
  <c r="D87" i="55"/>
  <c r="E90" i="45" l="1"/>
  <c r="E91" i="45" s="1"/>
  <c r="F90" i="45"/>
  <c r="F91" i="45" s="1"/>
  <c r="F103" i="45"/>
  <c r="E103" i="45"/>
  <c r="F97" i="45"/>
  <c r="E97" i="45"/>
  <c r="F85" i="45"/>
  <c r="E85" i="45"/>
  <c r="F88" i="45"/>
  <c r="E88" i="45"/>
  <c r="F98" i="45"/>
  <c r="E98" i="45"/>
  <c r="I94" i="45"/>
  <c r="F92" i="45"/>
  <c r="E92" i="45"/>
  <c r="F86" i="45"/>
  <c r="E86" i="45"/>
  <c r="F87" i="51" l="1"/>
  <c r="F86" i="51"/>
  <c r="E112" i="54"/>
  <c r="E104" i="54"/>
  <c r="E96" i="54"/>
  <c r="E88" i="54"/>
  <c r="E93" i="54" l="1"/>
  <c r="E91" i="54"/>
  <c r="F103" i="46"/>
  <c r="E103" i="46"/>
  <c r="D103" i="46"/>
  <c r="F97" i="46"/>
  <c r="E97" i="46"/>
  <c r="F91" i="46"/>
  <c r="E91" i="46"/>
  <c r="F85" i="46"/>
  <c r="E85" i="46"/>
  <c r="E88" i="46"/>
  <c r="F90" i="44"/>
  <c r="D90" i="44"/>
  <c r="E90" i="44"/>
  <c r="E89" i="44"/>
  <c r="F89" i="44"/>
  <c r="E88" i="44"/>
  <c r="F88" i="44"/>
  <c r="G87" i="39"/>
  <c r="F87" i="39"/>
  <c r="F89" i="39" s="1"/>
  <c r="G99" i="39"/>
  <c r="F99" i="39"/>
  <c r="G94" i="39"/>
  <c r="F94" i="39"/>
  <c r="G89" i="39"/>
  <c r="G88" i="39"/>
  <c r="F88" i="39"/>
  <c r="G85" i="39"/>
  <c r="F85" i="39"/>
  <c r="G84" i="39"/>
  <c r="F84" i="39"/>
  <c r="F86" i="38"/>
  <c r="G86" i="38"/>
  <c r="G99" i="36"/>
  <c r="F99" i="36"/>
  <c r="G94" i="36" l="1"/>
  <c r="F94" i="36"/>
  <c r="G89" i="36"/>
  <c r="F89" i="36"/>
  <c r="F88" i="36"/>
  <c r="G84" i="36"/>
  <c r="F84" i="36"/>
  <c r="D112" i="54" l="1"/>
  <c r="I106" i="54"/>
  <c r="E105" i="54"/>
  <c r="D104" i="54"/>
  <c r="E97" i="54"/>
  <c r="D96" i="54"/>
  <c r="E89" i="54"/>
  <c r="D88" i="54"/>
  <c r="F98" i="46" l="1"/>
  <c r="D97" i="46"/>
  <c r="F92" i="46"/>
  <c r="E92" i="46"/>
  <c r="D91" i="46"/>
  <c r="F86" i="46"/>
  <c r="E86" i="46"/>
  <c r="D85" i="46"/>
  <c r="F98" i="44" l="1"/>
  <c r="E98" i="44"/>
  <c r="F92" i="44"/>
  <c r="E92" i="44"/>
  <c r="F86" i="44"/>
  <c r="E86" i="44"/>
  <c r="F92" i="51"/>
  <c r="E92" i="51"/>
  <c r="F88" i="51"/>
  <c r="E88" i="51"/>
  <c r="E87" i="51"/>
  <c r="E84" i="51"/>
  <c r="F89" i="50"/>
  <c r="E89" i="50"/>
  <c r="F86" i="50"/>
  <c r="E86" i="50"/>
  <c r="F83" i="50"/>
  <c r="E83" i="50"/>
  <c r="F83" i="49" l="1"/>
  <c r="G83" i="40"/>
  <c r="F83" i="40"/>
  <c r="G84" i="38"/>
  <c r="F84" i="38"/>
  <c r="G84" i="37"/>
  <c r="F84" i="37"/>
  <c r="F87" i="36"/>
  <c r="G87" i="36"/>
  <c r="G85" i="36"/>
  <c r="F85" i="36"/>
  <c r="E89" i="49" l="1"/>
  <c r="E86" i="49"/>
  <c r="E83" i="49"/>
  <c r="E89" i="40"/>
  <c r="E86" i="40"/>
  <c r="E83" i="40"/>
  <c r="E97" i="39"/>
  <c r="E95" i="39"/>
  <c r="E93" i="39"/>
  <c r="E92" i="39"/>
  <c r="E94" i="39" s="1"/>
  <c r="E90" i="39"/>
  <c r="E89" i="39" s="1"/>
  <c r="E87" i="39"/>
  <c r="E85" i="39"/>
  <c r="E84" i="39"/>
  <c r="E92" i="38"/>
  <c r="E90" i="38"/>
  <c r="E88" i="38"/>
  <c r="E86" i="38"/>
  <c r="E84" i="38"/>
  <c r="E92" i="37"/>
  <c r="E88" i="37"/>
  <c r="E84" i="37"/>
  <c r="E99" i="36"/>
  <c r="D99" i="36"/>
  <c r="E95" i="36"/>
  <c r="E94" i="36"/>
  <c r="D94" i="36"/>
  <c r="E90" i="36"/>
  <c r="E89" i="36"/>
  <c r="D89" i="36"/>
  <c r="E85" i="36"/>
  <c r="E84" i="36"/>
  <c r="D84" i="36"/>
  <c r="F65" i="36"/>
  <c r="F99" i="35"/>
  <c r="D99" i="35"/>
  <c r="E98" i="35"/>
  <c r="E97" i="35"/>
  <c r="E99" i="35" s="1"/>
  <c r="F95" i="35"/>
  <c r="E95" i="35"/>
  <c r="F94" i="35"/>
  <c r="E94" i="35"/>
  <c r="D94" i="35"/>
  <c r="E93" i="35"/>
  <c r="E92" i="35"/>
  <c r="F90" i="35"/>
  <c r="E90" i="35"/>
  <c r="D89" i="35"/>
  <c r="F88" i="35"/>
  <c r="E88" i="35"/>
  <c r="F87" i="35"/>
  <c r="E87" i="35"/>
  <c r="E89" i="35" s="1"/>
  <c r="F85" i="35"/>
  <c r="E85" i="35"/>
  <c r="F84" i="35"/>
  <c r="E84" i="35"/>
  <c r="D84" i="35"/>
  <c r="D103" i="34"/>
  <c r="F102" i="34"/>
  <c r="E102" i="34"/>
  <c r="F101" i="34"/>
  <c r="E101" i="34"/>
  <c r="F100" i="34"/>
  <c r="F103" i="34" s="1"/>
  <c r="E100" i="34"/>
  <c r="E103" i="34" s="1"/>
  <c r="F98" i="34"/>
  <c r="E98" i="34"/>
  <c r="F97" i="34"/>
  <c r="D97" i="34"/>
  <c r="F96" i="34"/>
  <c r="E96" i="34"/>
  <c r="F95" i="34"/>
  <c r="E95" i="34"/>
  <c r="F94" i="34"/>
  <c r="E94" i="34"/>
  <c r="E97" i="34" s="1"/>
  <c r="F92" i="34"/>
  <c r="E99" i="39" l="1"/>
  <c r="F89" i="35"/>
  <c r="E92" i="34"/>
  <c r="F91" i="34"/>
  <c r="D91" i="34"/>
  <c r="F90" i="34"/>
  <c r="E90" i="34"/>
  <c r="F89" i="34"/>
  <c r="E89" i="34"/>
  <c r="F88" i="34"/>
  <c r="E88" i="34"/>
  <c r="E91" i="34" s="1"/>
  <c r="F86" i="34"/>
  <c r="E86" i="34"/>
  <c r="F85" i="34"/>
  <c r="E85" i="34"/>
  <c r="D85" i="34"/>
  <c r="D99" i="33"/>
  <c r="F98" i="33"/>
  <c r="E98" i="33"/>
  <c r="F97" i="33"/>
  <c r="F99" i="33" s="1"/>
  <c r="E97" i="33"/>
  <c r="E99" i="33" s="1"/>
  <c r="F95" i="33"/>
  <c r="E95" i="33"/>
  <c r="E94" i="33"/>
  <c r="D94" i="33"/>
  <c r="F93" i="33"/>
  <c r="E93" i="33"/>
  <c r="F92" i="33"/>
  <c r="F94" i="33" s="1"/>
  <c r="E92" i="33"/>
  <c r="F90" i="33"/>
  <c r="E90" i="33"/>
  <c r="F89" i="33"/>
  <c r="D89" i="33"/>
  <c r="F88" i="33"/>
  <c r="E88" i="33"/>
  <c r="E89" i="33" s="1"/>
  <c r="F87" i="33"/>
  <c r="E87" i="33"/>
  <c r="F85" i="33"/>
  <c r="E85" i="33"/>
  <c r="F84" i="33"/>
  <c r="E84" i="33"/>
  <c r="D84" i="33"/>
  <c r="D107" i="32"/>
  <c r="F106" i="32"/>
  <c r="E106" i="32"/>
  <c r="F105" i="32"/>
  <c r="E105" i="32"/>
  <c r="F104" i="32"/>
  <c r="E104" i="32"/>
  <c r="E107" i="32" s="1"/>
  <c r="F103" i="32"/>
  <c r="F107" i="32" s="1"/>
  <c r="E103" i="32"/>
  <c r="F101" i="32"/>
  <c r="E101" i="32"/>
  <c r="D100" i="32" l="1"/>
  <c r="F99" i="32"/>
  <c r="E99" i="32"/>
  <c r="F98" i="32"/>
  <c r="E98" i="32"/>
  <c r="F97" i="32"/>
  <c r="E97" i="32"/>
  <c r="E100" i="32" s="1"/>
  <c r="F96" i="32"/>
  <c r="E96" i="32"/>
  <c r="F94" i="32"/>
  <c r="E94" i="32"/>
  <c r="D93" i="32"/>
  <c r="F92" i="32"/>
  <c r="E92" i="32"/>
  <c r="F91" i="32"/>
  <c r="E91" i="32"/>
  <c r="F90" i="32"/>
  <c r="F93" i="32" s="1"/>
  <c r="E90" i="32"/>
  <c r="F89" i="32"/>
  <c r="E89" i="32"/>
  <c r="E93" i="32" s="1"/>
  <c r="F87" i="32"/>
  <c r="E87" i="32"/>
  <c r="F86" i="32"/>
  <c r="E86" i="32"/>
  <c r="D86" i="32"/>
  <c r="F98" i="31"/>
  <c r="E98" i="31"/>
  <c r="F97" i="31"/>
  <c r="E97" i="31"/>
  <c r="F95" i="31"/>
  <c r="E95" i="31"/>
  <c r="F93" i="31"/>
  <c r="E93" i="31"/>
  <c r="F92" i="31"/>
  <c r="E92" i="31"/>
  <c r="F90" i="31"/>
  <c r="E90" i="31"/>
  <c r="F88" i="31"/>
  <c r="E88" i="31"/>
  <c r="F87" i="31"/>
  <c r="E87" i="31"/>
  <c r="F85" i="31"/>
  <c r="E85" i="31"/>
  <c r="E103" i="30"/>
  <c r="D103" i="30"/>
  <c r="F102" i="30"/>
  <c r="E102" i="30"/>
  <c r="F101" i="30"/>
  <c r="F103" i="30" s="1"/>
  <c r="E101" i="30"/>
  <c r="F100" i="30"/>
  <c r="E100" i="30"/>
  <c r="F98" i="30"/>
  <c r="E98" i="30"/>
  <c r="D97" i="30"/>
  <c r="F96" i="30"/>
  <c r="E96" i="30"/>
  <c r="F95" i="30"/>
  <c r="E95" i="30"/>
  <c r="F94" i="30"/>
  <c r="E94" i="30"/>
  <c r="E97" i="30" s="1"/>
  <c r="F92" i="30"/>
  <c r="E92" i="30"/>
  <c r="F97" i="30" l="1"/>
  <c r="F100" i="32"/>
  <c r="E91" i="30"/>
  <c r="D91" i="30"/>
  <c r="F90" i="30"/>
  <c r="E90" i="30"/>
  <c r="F89" i="30"/>
  <c r="F91" i="30" s="1"/>
  <c r="E89" i="30"/>
  <c r="F88" i="30"/>
  <c r="E88" i="30"/>
  <c r="F86" i="30"/>
  <c r="E86" i="30"/>
  <c r="F85" i="30"/>
  <c r="E85" i="30"/>
  <c r="D85" i="30"/>
  <c r="F101" i="29"/>
  <c r="E101" i="29"/>
  <c r="F100" i="29"/>
  <c r="E100" i="29"/>
  <c r="F98" i="29"/>
  <c r="E98" i="29"/>
  <c r="F95" i="29"/>
  <c r="E95" i="29"/>
  <c r="F94" i="29"/>
  <c r="E94" i="29"/>
  <c r="F92" i="29"/>
  <c r="E92" i="29"/>
  <c r="F90" i="29"/>
  <c r="F89" i="29"/>
  <c r="E89" i="29"/>
  <c r="F88" i="29"/>
  <c r="E88" i="29"/>
  <c r="F86" i="29"/>
  <c r="E86" i="29"/>
  <c r="F106" i="28"/>
  <c r="E106" i="28"/>
  <c r="F105" i="28"/>
  <c r="E105" i="28"/>
  <c r="F104" i="28"/>
  <c r="E104" i="28"/>
  <c r="F103" i="28"/>
  <c r="E103" i="28"/>
  <c r="F101" i="28"/>
  <c r="E101" i="28"/>
  <c r="F99" i="28"/>
  <c r="E99" i="28"/>
  <c r="F98" i="28"/>
  <c r="E98" i="28"/>
  <c r="F97" i="28"/>
  <c r="E97" i="28"/>
  <c r="F96" i="28"/>
  <c r="E96" i="28"/>
  <c r="F94" i="28"/>
  <c r="E94" i="28"/>
  <c r="F92" i="28"/>
  <c r="E92" i="28"/>
  <c r="F91" i="28"/>
  <c r="E91" i="28"/>
  <c r="F90" i="28"/>
  <c r="E90" i="28"/>
  <c r="F89" i="28"/>
  <c r="E89" i="28"/>
  <c r="F87" i="28"/>
  <c r="E87" i="28"/>
  <c r="D29" i="28"/>
  <c r="E114" i="27"/>
  <c r="F113" i="27"/>
  <c r="F112" i="27"/>
  <c r="F111" i="27"/>
  <c r="F109" i="27"/>
  <c r="F114" i="27" s="1"/>
  <c r="F107" i="27"/>
  <c r="E107" i="27"/>
  <c r="F105" i="27"/>
  <c r="E105" i="27"/>
  <c r="F104" i="27"/>
  <c r="F103" i="27"/>
  <c r="E103" i="27"/>
  <c r="F102" i="27"/>
  <c r="E102" i="27"/>
  <c r="F100" i="27"/>
  <c r="F106" i="27" s="1"/>
  <c r="F98" i="27"/>
  <c r="E98" i="27"/>
  <c r="F96" i="27"/>
  <c r="F95" i="27"/>
  <c r="F94" i="27"/>
  <c r="F93" i="27"/>
  <c r="F97" i="27" s="1"/>
  <c r="F89" i="27"/>
  <c r="F88" i="27"/>
  <c r="D98" i="26"/>
  <c r="F97" i="26"/>
  <c r="E97" i="26"/>
  <c r="F96" i="26"/>
  <c r="F98" i="26" s="1"/>
  <c r="E96" i="26"/>
  <c r="E98" i="26" s="1"/>
  <c r="F94" i="26"/>
  <c r="E94" i="26"/>
  <c r="D93" i="26"/>
  <c r="F92" i="26"/>
  <c r="E92" i="26"/>
  <c r="F91" i="26"/>
  <c r="F93" i="26" s="1"/>
  <c r="E91" i="26"/>
  <c r="E93" i="26" s="1"/>
  <c r="F89" i="26"/>
  <c r="E89" i="26"/>
  <c r="E88" i="26"/>
  <c r="D88" i="26"/>
  <c r="F87" i="26"/>
  <c r="E87" i="26"/>
  <c r="F86" i="26"/>
  <c r="F88" i="26" s="1"/>
  <c r="E86" i="26"/>
  <c r="F85" i="26"/>
  <c r="E84" i="26"/>
  <c r="F83" i="26"/>
  <c r="E83" i="26"/>
  <c r="D83" i="26"/>
  <c r="E103" i="25"/>
  <c r="D103" i="25"/>
  <c r="F102" i="25"/>
  <c r="E102" i="25"/>
  <c r="F101" i="25"/>
  <c r="E101" i="25"/>
  <c r="F100" i="25"/>
  <c r="F103" i="25" s="1"/>
  <c r="E100" i="25"/>
  <c r="F98" i="25"/>
  <c r="E98" i="25"/>
  <c r="D97" i="25"/>
  <c r="F96" i="25"/>
  <c r="E96" i="25"/>
  <c r="F95" i="25"/>
  <c r="E95" i="25"/>
  <c r="F94" i="25"/>
  <c r="F97" i="25" s="1"/>
  <c r="E94" i="25"/>
  <c r="E97" i="25" s="1"/>
  <c r="F92" i="25"/>
  <c r="E92" i="25"/>
  <c r="D91" i="25"/>
  <c r="F90" i="25"/>
  <c r="F91" i="25" s="1"/>
  <c r="E90" i="25"/>
  <c r="F89" i="25"/>
  <c r="F88" i="25"/>
  <c r="E88" i="25"/>
  <c r="E91" i="25" s="1"/>
  <c r="F86" i="25"/>
  <c r="E86" i="25"/>
  <c r="F85" i="25"/>
  <c r="E85" i="25"/>
  <c r="D85" i="25"/>
  <c r="C32" i="25"/>
  <c r="D31" i="25"/>
  <c r="C31" i="25"/>
  <c r="C30" i="25"/>
  <c r="C29" i="25"/>
  <c r="E107" i="24"/>
  <c r="D107" i="24"/>
  <c r="F106" i="24"/>
  <c r="E106" i="24"/>
  <c r="F105" i="24"/>
  <c r="E105" i="24"/>
  <c r="F104" i="24"/>
  <c r="E104" i="24"/>
  <c r="F103" i="24"/>
  <c r="F107" i="24" s="1"/>
  <c r="E103" i="24"/>
  <c r="F101" i="24"/>
  <c r="E101" i="24"/>
  <c r="F100" i="24"/>
  <c r="D100" i="24"/>
  <c r="F99" i="24"/>
  <c r="E99" i="24"/>
  <c r="F98" i="24"/>
  <c r="E98" i="24"/>
  <c r="F97" i="24"/>
  <c r="E97" i="24"/>
  <c r="E100" i="24" s="1"/>
  <c r="F96" i="24"/>
  <c r="E96" i="24"/>
  <c r="F94" i="24"/>
  <c r="E94" i="24"/>
  <c r="D93" i="24"/>
  <c r="F92" i="24"/>
  <c r="E92" i="24"/>
  <c r="F91" i="24"/>
  <c r="E91" i="24"/>
  <c r="F90" i="24"/>
  <c r="F89" i="24"/>
  <c r="F93" i="24" s="1"/>
  <c r="E89" i="24"/>
  <c r="E93" i="24" s="1"/>
  <c r="F87" i="24"/>
  <c r="E87" i="24"/>
  <c r="F86" i="24"/>
  <c r="E86" i="24"/>
  <c r="D86" i="24"/>
  <c r="F89" i="23"/>
  <c r="F86" i="23"/>
  <c r="F83" i="23"/>
  <c r="E113" i="22"/>
  <c r="D113" i="22"/>
  <c r="F112" i="22"/>
  <c r="E112" i="22"/>
  <c r="F111" i="22"/>
  <c r="E111" i="22"/>
  <c r="F110" i="22"/>
  <c r="E110" i="22"/>
  <c r="F109" i="22"/>
  <c r="F113" i="22" s="1"/>
  <c r="E109" i="22"/>
  <c r="E108" i="22"/>
  <c r="F106" i="22"/>
  <c r="E106" i="22"/>
  <c r="D105" i="22"/>
  <c r="F104" i="22"/>
  <c r="E104" i="22"/>
  <c r="F103" i="22"/>
  <c r="E103" i="22"/>
  <c r="F102" i="22"/>
  <c r="E102" i="22"/>
  <c r="F101" i="22"/>
  <c r="F105" i="22" s="1"/>
  <c r="E105" i="22" s="1"/>
  <c r="E101" i="22"/>
  <c r="E100" i="22"/>
  <c r="F98" i="22"/>
  <c r="E98" i="22"/>
  <c r="D97" i="22"/>
  <c r="F96" i="22"/>
  <c r="E96" i="22"/>
  <c r="F95" i="22"/>
  <c r="E95" i="22"/>
  <c r="F94" i="22"/>
  <c r="E94" i="22"/>
  <c r="F93" i="22"/>
  <c r="F97" i="22" s="1"/>
  <c r="E93" i="22"/>
  <c r="E92" i="22"/>
  <c r="E97" i="22" s="1"/>
  <c r="F90" i="22"/>
  <c r="E90" i="22"/>
  <c r="F89" i="22"/>
  <c r="E89" i="22"/>
  <c r="D89" i="22"/>
  <c r="F109" i="21"/>
  <c r="E109" i="21"/>
  <c r="F108" i="21"/>
  <c r="E108" i="21"/>
  <c r="F107" i="21"/>
  <c r="E107" i="21"/>
  <c r="F106" i="21"/>
  <c r="F110" i="21" s="1"/>
  <c r="E106" i="21"/>
  <c r="F104" i="21"/>
  <c r="D103" i="21"/>
  <c r="F102" i="21"/>
  <c r="E102" i="21"/>
  <c r="F101" i="21"/>
  <c r="E101" i="21"/>
  <c r="F100" i="21"/>
  <c r="F103" i="21" s="1"/>
  <c r="E100" i="21"/>
  <c r="F99" i="21"/>
  <c r="E99" i="21"/>
  <c r="E103" i="21" s="1"/>
  <c r="F97" i="21"/>
  <c r="D96" i="21"/>
  <c r="F95" i="21"/>
  <c r="E95" i="21"/>
  <c r="F94" i="21"/>
  <c r="E94" i="21"/>
  <c r="F93" i="21"/>
  <c r="F96" i="21" s="1"/>
  <c r="E93" i="21"/>
  <c r="F92" i="21"/>
  <c r="E92" i="21"/>
  <c r="E96" i="21" s="1"/>
  <c r="F90" i="21"/>
  <c r="F89" i="21"/>
  <c r="E89" i="21"/>
  <c r="D89" i="21"/>
  <c r="G97" i="19" l="1"/>
  <c r="D97" i="19"/>
  <c r="F96" i="19"/>
  <c r="E96" i="19"/>
  <c r="F95" i="19"/>
  <c r="E95" i="19"/>
  <c r="G93" i="19"/>
  <c r="F93" i="19"/>
  <c r="E93" i="19"/>
  <c r="G92" i="19"/>
  <c r="F92" i="19" s="1"/>
  <c r="D92" i="19"/>
  <c r="F91" i="19"/>
  <c r="E91" i="19"/>
  <c r="F90" i="19"/>
  <c r="E90" i="19"/>
  <c r="E92" i="19" s="1"/>
  <c r="G88" i="19"/>
  <c r="F88" i="19"/>
  <c r="E88" i="19"/>
  <c r="G87" i="19"/>
  <c r="D87" i="19"/>
  <c r="F86" i="19"/>
  <c r="E86" i="19"/>
  <c r="F85" i="19"/>
  <c r="E85" i="19"/>
  <c r="G83" i="19"/>
  <c r="F83" i="19"/>
  <c r="E83" i="19"/>
  <c r="G82" i="19"/>
  <c r="F82" i="19"/>
  <c r="E82" i="19"/>
  <c r="D82" i="19"/>
  <c r="D101" i="18"/>
  <c r="G100" i="18"/>
  <c r="F100" i="18"/>
  <c r="E100" i="18"/>
  <c r="G99" i="18"/>
  <c r="G101" i="18" s="1"/>
  <c r="F101" i="18" s="1"/>
  <c r="E101" i="18" s="1"/>
  <c r="F99" i="18"/>
  <c r="G97" i="18"/>
  <c r="F97" i="18"/>
  <c r="F87" i="19" l="1"/>
  <c r="E87" i="19" s="1"/>
  <c r="F97" i="19"/>
  <c r="E97" i="19" s="1"/>
  <c r="D96" i="18"/>
  <c r="G95" i="18"/>
  <c r="F95" i="18"/>
  <c r="E95" i="18"/>
  <c r="G94" i="18"/>
  <c r="G96" i="18" s="1"/>
  <c r="F96" i="18" s="1"/>
  <c r="E96" i="18" s="1"/>
  <c r="F94" i="18"/>
  <c r="G92" i="18"/>
  <c r="F92" i="18"/>
  <c r="G91" i="18"/>
  <c r="F91" i="18" s="1"/>
  <c r="E91" i="18"/>
  <c r="D91" i="18"/>
  <c r="G90" i="18"/>
  <c r="F90" i="18"/>
  <c r="G89" i="18"/>
  <c r="F89" i="18"/>
  <c r="G87" i="18"/>
  <c r="F87" i="18"/>
  <c r="G86" i="18"/>
  <c r="F86" i="18"/>
  <c r="E86" i="18"/>
  <c r="D86" i="18"/>
  <c r="G101" i="17" s="1"/>
  <c r="E101" i="17"/>
  <c r="D101" i="17"/>
  <c r="G100" i="17"/>
  <c r="F100" i="17"/>
  <c r="G99" i="17"/>
  <c r="F99" i="17"/>
  <c r="F101" i="17" s="1"/>
  <c r="G97" i="17"/>
  <c r="F97" i="17"/>
  <c r="E96" i="17"/>
  <c r="D96" i="17"/>
  <c r="G95" i="17"/>
  <c r="F95" i="17"/>
  <c r="G94" i="17"/>
  <c r="F94" i="17"/>
  <c r="F96" i="17" s="1"/>
  <c r="G92" i="17"/>
  <c r="F92" i="17"/>
  <c r="F91" i="17"/>
  <c r="E91" i="17"/>
  <c r="D91" i="17"/>
  <c r="G90" i="17"/>
  <c r="G91" i="17" s="1"/>
  <c r="F90" i="17"/>
  <c r="G89" i="17"/>
  <c r="F89" i="17"/>
  <c r="G87" i="17"/>
  <c r="F87" i="17"/>
  <c r="G86" i="17"/>
  <c r="F86" i="17"/>
  <c r="E86" i="17"/>
  <c r="D86" i="17"/>
  <c r="D104" i="16"/>
  <c r="F103" i="16"/>
  <c r="E103" i="16"/>
  <c r="F102" i="16"/>
  <c r="E102" i="16"/>
  <c r="F101" i="16"/>
  <c r="F104" i="16" s="1"/>
  <c r="E101" i="16"/>
  <c r="E104" i="16" s="1"/>
  <c r="F99" i="16"/>
  <c r="E99" i="16"/>
  <c r="F98" i="16"/>
  <c r="D98" i="16"/>
  <c r="F97" i="16"/>
  <c r="E97" i="16"/>
  <c r="F96" i="16"/>
  <c r="E96" i="16"/>
  <c r="F95" i="16"/>
  <c r="E95" i="16"/>
  <c r="E98" i="16" s="1"/>
  <c r="F93" i="16"/>
  <c r="E93" i="16"/>
  <c r="E92" i="16"/>
  <c r="D92" i="16"/>
  <c r="F91" i="16"/>
  <c r="E91" i="16"/>
  <c r="F90" i="16"/>
  <c r="F92" i="16" s="1"/>
  <c r="E90" i="16"/>
  <c r="F89" i="16"/>
  <c r="E89" i="16"/>
  <c r="F87" i="16"/>
  <c r="E87" i="16"/>
  <c r="F86" i="16"/>
  <c r="E86" i="16"/>
  <c r="D86" i="16"/>
  <c r="E109" i="15"/>
  <c r="D109" i="15"/>
  <c r="G108" i="15"/>
  <c r="G107" i="15"/>
  <c r="G106" i="15"/>
  <c r="F106" i="15"/>
  <c r="G105" i="15"/>
  <c r="G109" i="15" s="1"/>
  <c r="F109" i="15" s="1"/>
  <c r="F105" i="15"/>
  <c r="E102" i="15"/>
  <c r="D102" i="15"/>
  <c r="G101" i="15"/>
  <c r="G100" i="15"/>
  <c r="G99" i="15"/>
  <c r="F99" i="15"/>
  <c r="G98" i="15"/>
  <c r="G102" i="15" s="1"/>
  <c r="F98" i="15"/>
  <c r="F102" i="15" s="1"/>
  <c r="E95" i="15"/>
  <c r="D95" i="15"/>
  <c r="G94" i="15"/>
  <c r="G93" i="15"/>
  <c r="G95" i="15" s="1"/>
  <c r="F95" i="15" s="1"/>
  <c r="G92" i="15"/>
  <c r="F92" i="15"/>
  <c r="G91" i="15"/>
  <c r="F91" i="15"/>
  <c r="G89" i="15"/>
  <c r="F89" i="15"/>
  <c r="G88" i="15"/>
  <c r="F88" i="15"/>
  <c r="E88" i="15"/>
  <c r="D88" i="15"/>
  <c r="E108" i="14"/>
  <c r="D108" i="14"/>
  <c r="G107" i="14"/>
  <c r="F107" i="14"/>
  <c r="G106" i="14"/>
  <c r="F106" i="14"/>
  <c r="G105" i="14"/>
  <c r="G108" i="14" s="1"/>
  <c r="F105" i="14"/>
  <c r="F108" i="14" s="1"/>
  <c r="G104" i="14"/>
  <c r="F104" i="14"/>
  <c r="G102" i="14"/>
  <c r="E101" i="14"/>
  <c r="D101" i="14"/>
  <c r="G100" i="14"/>
  <c r="G101" i="14" s="1"/>
  <c r="F100" i="14"/>
  <c r="G99" i="14"/>
  <c r="G98" i="14"/>
  <c r="F98" i="14"/>
  <c r="G97" i="14"/>
  <c r="F97" i="14"/>
  <c r="F101" i="14" s="1"/>
  <c r="G95" i="14"/>
  <c r="E94" i="14"/>
  <c r="D94" i="14"/>
  <c r="G93" i="14"/>
  <c r="F93" i="14"/>
  <c r="G92" i="14"/>
  <c r="F92" i="14"/>
  <c r="G91" i="14"/>
  <c r="G94" i="14" s="1"/>
  <c r="G90" i="14"/>
  <c r="F90" i="14"/>
  <c r="F94" i="14" s="1"/>
  <c r="G88" i="14"/>
  <c r="G87" i="14"/>
  <c r="F87" i="14"/>
  <c r="E87" i="14"/>
  <c r="E30" i="14"/>
  <c r="E99" i="13"/>
  <c r="D99" i="13"/>
  <c r="G98" i="13"/>
  <c r="F98" i="13"/>
  <c r="F99" i="13" s="1"/>
  <c r="G97" i="13"/>
  <c r="F97" i="13"/>
  <c r="G95" i="13"/>
  <c r="F95" i="13"/>
  <c r="G94" i="13" s="1"/>
  <c r="E94" i="13"/>
  <c r="D94" i="13"/>
  <c r="G93" i="13"/>
  <c r="F93" i="13"/>
  <c r="G92" i="13"/>
  <c r="F92" i="13"/>
  <c r="F94" i="13" s="1"/>
  <c r="G90" i="13"/>
  <c r="F90" i="13"/>
  <c r="G99" i="13" l="1"/>
  <c r="G96" i="17"/>
  <c r="E89" i="13"/>
  <c r="D89" i="13"/>
  <c r="G88" i="13"/>
  <c r="F88" i="13"/>
  <c r="F89" i="13" s="1"/>
  <c r="G87" i="13"/>
  <c r="G89" i="13" s="1"/>
  <c r="F87" i="13"/>
  <c r="G85" i="13"/>
  <c r="F85" i="13"/>
  <c r="G84" i="13"/>
  <c r="F84" i="13"/>
  <c r="E84" i="13"/>
  <c r="D84" i="13"/>
  <c r="E105" i="12"/>
  <c r="D105" i="12"/>
  <c r="G104" i="12"/>
  <c r="G103" i="12"/>
  <c r="G102" i="12"/>
  <c r="F102" i="12"/>
  <c r="G100" i="12"/>
  <c r="G105" i="12" l="1"/>
  <c r="F105" i="12" s="1"/>
  <c r="F99" i="12"/>
  <c r="E99" i="12"/>
  <c r="D99" i="12"/>
  <c r="G98" i="12"/>
  <c r="G97" i="12"/>
  <c r="G96" i="12"/>
  <c r="G99" i="12" s="1"/>
  <c r="G94" i="12"/>
  <c r="F93" i="12"/>
  <c r="E93" i="12"/>
  <c r="D93" i="12"/>
  <c r="G92" i="12"/>
  <c r="G91" i="12"/>
  <c r="G90" i="12"/>
  <c r="G93" i="12" s="1"/>
  <c r="G88" i="12"/>
  <c r="G87" i="12"/>
  <c r="F87" i="12"/>
  <c r="E87" i="12"/>
  <c r="D87" i="12"/>
  <c r="G102" i="11" s="1"/>
  <c r="F102" i="11" s="1"/>
  <c r="E102" i="11"/>
  <c r="D102" i="11"/>
  <c r="G100" i="11"/>
  <c r="F100" i="11"/>
  <c r="G98" i="11"/>
  <c r="F98" i="11"/>
  <c r="G97" i="11" s="1"/>
  <c r="E97" i="11"/>
  <c r="D97" i="11"/>
  <c r="G95" i="11"/>
  <c r="F95" i="11"/>
  <c r="G93" i="11"/>
  <c r="F93" i="11"/>
  <c r="G92" i="11" s="1"/>
  <c r="F92" i="11" s="1"/>
  <c r="E92" i="11"/>
  <c r="D92" i="11"/>
  <c r="G90" i="11"/>
  <c r="F90" i="11"/>
  <c r="G88" i="11"/>
  <c r="F88" i="11"/>
  <c r="G87" i="11"/>
  <c r="F87" i="11"/>
  <c r="E87" i="11"/>
  <c r="D87" i="11"/>
  <c r="E104" i="10"/>
  <c r="D104" i="10"/>
  <c r="G103" i="10"/>
  <c r="G104" i="10" s="1"/>
  <c r="F103" i="10"/>
  <c r="F104" i="10" s="1"/>
  <c r="G102" i="10"/>
  <c r="F102" i="10"/>
  <c r="F101" i="10"/>
  <c r="F99" i="10"/>
  <c r="E98" i="10"/>
  <c r="D98" i="10"/>
  <c r="G97" i="10"/>
  <c r="F97" i="10"/>
  <c r="G96" i="10"/>
  <c r="F96" i="10"/>
  <c r="F95" i="10"/>
  <c r="F98" i="10" s="1"/>
  <c r="F93" i="10"/>
  <c r="E92" i="10"/>
  <c r="D92" i="10"/>
  <c r="G91" i="10"/>
  <c r="F91" i="10"/>
  <c r="G90" i="10"/>
  <c r="F90" i="10"/>
  <c r="G89" i="10"/>
  <c r="G92" i="10" s="1"/>
  <c r="F89" i="10"/>
  <c r="F92" i="10" s="1"/>
  <c r="F87" i="10"/>
  <c r="G86" i="10"/>
  <c r="F86" i="10"/>
  <c r="E86" i="10"/>
  <c r="D86" i="10"/>
  <c r="F92" i="9"/>
  <c r="F89" i="9"/>
  <c r="F86" i="9"/>
  <c r="G92" i="8"/>
  <c r="G89" i="8"/>
  <c r="G86" i="8"/>
  <c r="E102" i="7"/>
  <c r="G101" i="7"/>
  <c r="G100" i="7"/>
  <c r="G98" i="7"/>
  <c r="E97" i="7"/>
  <c r="G96" i="7"/>
  <c r="G95" i="7"/>
  <c r="G93" i="7"/>
  <c r="E92" i="7"/>
  <c r="G91" i="7"/>
  <c r="G90" i="7"/>
  <c r="G88" i="7"/>
  <c r="E87" i="7"/>
  <c r="G102" i="6"/>
  <c r="E102" i="6"/>
  <c r="G101" i="6"/>
  <c r="G100" i="6"/>
  <c r="G98" i="6"/>
  <c r="E97" i="6"/>
  <c r="G96" i="6"/>
  <c r="G95" i="6"/>
  <c r="G93" i="6"/>
  <c r="G97" i="6" s="1"/>
  <c r="E92" i="6"/>
  <c r="G91" i="6"/>
  <c r="G90" i="6"/>
  <c r="G88" i="6"/>
  <c r="G92" i="6" s="1"/>
  <c r="G87" i="6"/>
  <c r="E87" i="6"/>
  <c r="E107" i="5"/>
  <c r="G106" i="5"/>
  <c r="G104" i="5"/>
  <c r="G102" i="5"/>
  <c r="E101" i="5"/>
  <c r="G100" i="5"/>
  <c r="G98" i="5"/>
  <c r="G96" i="5"/>
  <c r="E95" i="5"/>
  <c r="G94" i="5"/>
  <c r="G92" i="5"/>
  <c r="G90" i="5"/>
  <c r="E89" i="5"/>
  <c r="G91" i="4"/>
  <c r="G88" i="4"/>
  <c r="G85" i="4"/>
  <c r="E107" i="3"/>
  <c r="G106" i="3"/>
  <c r="G105" i="3"/>
  <c r="G104" i="3"/>
  <c r="G102" i="3"/>
  <c r="E101" i="3"/>
  <c r="G100" i="3"/>
  <c r="G99" i="3"/>
  <c r="G98" i="3"/>
  <c r="G96" i="3"/>
  <c r="E95" i="3"/>
  <c r="G94" i="3"/>
  <c r="G93" i="3"/>
  <c r="G92" i="3"/>
  <c r="G90" i="3"/>
  <c r="E89" i="3"/>
  <c r="E107" i="2"/>
  <c r="G106" i="2"/>
  <c r="G105" i="2"/>
  <c r="G104" i="2"/>
  <c r="G102" i="2"/>
  <c r="G100" i="2"/>
  <c r="G99" i="2"/>
  <c r="G98" i="2"/>
  <c r="G96" i="2"/>
  <c r="G94" i="2"/>
  <c r="G93" i="2"/>
  <c r="G92" i="2"/>
  <c r="G90" i="2"/>
  <c r="G95" i="1"/>
  <c r="G92" i="1"/>
  <c r="G89" i="1"/>
  <c r="G98" i="10" l="1"/>
  <c r="F97" i="11"/>
</calcChain>
</file>

<file path=xl/sharedStrings.xml><?xml version="1.0" encoding="utf-8"?>
<sst xmlns="http://schemas.openxmlformats.org/spreadsheetml/2006/main" count="7350" uniqueCount="979">
  <si>
    <t>A. For Equity Issues</t>
  </si>
  <si>
    <t>Sr. No.</t>
  </si>
  <si>
    <t>Name of the issue:</t>
  </si>
  <si>
    <t>O.P. Chains Limited</t>
  </si>
  <si>
    <t>Type of  issue</t>
  </si>
  <si>
    <t>Initial Public Offering (IPO) on SME Platform</t>
  </si>
  <si>
    <t>Source: Prospectus of the Company</t>
  </si>
  <si>
    <t>Issue size</t>
  </si>
  <si>
    <t>Rs.203.50 lakhs</t>
  </si>
  <si>
    <t>Grade of issue alongwith name of the rating agency</t>
  </si>
  <si>
    <t>Since the issue is being made in terms of Chapter XB of the SEBI (ICDR) Regulations, there is no requirement of appointing a IPO Grading agency.</t>
  </si>
  <si>
    <t>Subscription level (number of times)*</t>
  </si>
  <si>
    <t>1.53 times</t>
  </si>
  <si>
    <t>As per finalised Basis of Allotment.</t>
  </si>
  <si>
    <t>QIB holding (as a % of total outstanding capital) as disclosed to stock exchanges (See Regulation 31 of the SEBI (Listing Obligations &amp; Disclosure Requiremens) , 2015</t>
  </si>
  <si>
    <t>(i) allotment in the issue</t>
  </si>
  <si>
    <t>Nil</t>
  </si>
  <si>
    <t>(ii) at the end of the 1st Quarter immediately after the listing of the issue (June 30, 2015)</t>
  </si>
  <si>
    <t xml:space="preserve">(iii) at the end of 1st FY </t>
  </si>
  <si>
    <t xml:space="preserve">(iv) at the end of 2nd FY </t>
  </si>
  <si>
    <t xml:space="preserve">(v) at the end of 3rd FY </t>
  </si>
  <si>
    <t>Source: BSE</t>
  </si>
  <si>
    <t>Financials of the issuer (as per the annual financial results submitted to stock exchange in Regulation 33 of the SEBI (Listing Obligations &amp; Disclosure Requiremens) , 2015</t>
  </si>
  <si>
    <t>(Rs. in lakhs)</t>
  </si>
  <si>
    <t>Parameters</t>
  </si>
  <si>
    <t>1st FY * (2015-16)</t>
  </si>
  <si>
    <t xml:space="preserve">2nd FY </t>
  </si>
  <si>
    <t xml:space="preserve">3rd FY </t>
  </si>
  <si>
    <t>Income from operations</t>
  </si>
  <si>
    <t>Net Profit for the period</t>
  </si>
  <si>
    <t>Paid-up equity share capital</t>
  </si>
  <si>
    <t>Reserves excluding revaluation reserves</t>
  </si>
  <si>
    <t>*As per the Company's Audited Finacials- BSE</t>
  </si>
  <si>
    <t>Trading status in the scrip of the issuer (whether frequently traded (as defined under Regulation 2 (j) of SEBI (SAST) Regulations, 2011)  or infrequently traded/ delisted/ suspended by any stock exchange, etc.)</t>
  </si>
  <si>
    <t xml:space="preserve">(i) at the end of 1st FY </t>
  </si>
  <si>
    <t>Frequently Traded</t>
  </si>
  <si>
    <t xml:space="preserve">(ii) at the end of 2nd FY </t>
  </si>
  <si>
    <t xml:space="preserve">(iii) at the end of 3rd FY </t>
  </si>
  <si>
    <t>Change, if any, in directors of issuer from the disclosures in the offer document (See Regulation 68 and Schedule III of the SEBI (Listing Obligations &amp; Disclosure Requiremens) , 2015</t>
  </si>
  <si>
    <t>(i) at the end of 1st F.Y.</t>
  </si>
  <si>
    <t>Source;MCA Portal &amp; Information provided by the Company.</t>
  </si>
  <si>
    <t>Status of implementation of project/ commencement of commercial production (as submitted to stock exchanges under Regulation 32 of the SEBI (Listing Obligations &amp; Disclosure Requiremens) , 2015</t>
  </si>
  <si>
    <t>Activity</t>
  </si>
  <si>
    <t>(i) as disclosed in the offer document</t>
  </si>
  <si>
    <t>(ii) Actual implementation #</t>
  </si>
  <si>
    <t>(iii) Reasons for delay in implementation, if any #</t>
  </si>
  <si>
    <t>Working Capital Requirement
General Corporate Purpose
Issue Expenses.</t>
  </si>
  <si>
    <t>I Working Capital Requirements 165.00 
II General Corporate Purpose 13.50 
III Issue Expenses 25.00</t>
  </si>
  <si>
    <t>N.A.</t>
  </si>
  <si>
    <t>Status of utilization of issue proceeds (as submitted to stock exchanges under Regulation 32 of the SEBI (Listing Obligations &amp; Disclosure Requiremens) , 2015                                                                                                                                                                                                         (Rs. In Lakhs)</t>
  </si>
  <si>
    <t>(i) as disclosed in the offer document: Fund Requirements</t>
  </si>
  <si>
    <t>Working Capital Requirement        :  Rs.165 lakhs</t>
  </si>
  <si>
    <t>General Corporate Purposes           : Rs. 13.50 lakhs</t>
  </si>
  <si>
    <t>Issue Expenses                                 : Rs. 25 lakhs</t>
  </si>
  <si>
    <t>(ii) Actual utilization</t>
  </si>
  <si>
    <t>(iii) Reasons for deviation, if any:</t>
  </si>
  <si>
    <t>not applicable</t>
  </si>
  <si>
    <t xml:space="preserve">                </t>
  </si>
  <si>
    <t>Source:  Prospectus and Information provided by the Company</t>
  </si>
  <si>
    <t>Comments of monitoring agency</t>
  </si>
  <si>
    <t>Not Applicable as the issue size was less than Rs. 500 crores</t>
  </si>
  <si>
    <t xml:space="preserve">Price- related data </t>
  </si>
  <si>
    <t>Issue price (Rs):</t>
  </si>
  <si>
    <t>Rs. 11/-</t>
  </si>
  <si>
    <t>Price parameters</t>
  </si>
  <si>
    <t>At close of listing day (April 22, 2015)</t>
  </si>
  <si>
    <t xml:space="preserve">At close of 30th calendar day (May 21 ,2015) from listing day </t>
  </si>
  <si>
    <t xml:space="preserve">At close of 90th calendar day(July 20,2015) from listing day </t>
  </si>
  <si>
    <t xml:space="preserve">As at the end of 1st FY after the listing of the issue </t>
  </si>
  <si>
    <t xml:space="preserve">As at the end of 2nd FY after the listing of the issue </t>
  </si>
  <si>
    <t xml:space="preserve">As at the end of 3rd FY after the listing of the issue </t>
  </si>
  <si>
    <t xml:space="preserve">Closing price </t>
  </si>
  <si>
    <t>High (during the FY)</t>
  </si>
  <si>
    <t>Low (during the FY)</t>
  </si>
  <si>
    <t>Closing price</t>
  </si>
  <si>
    <t>Market Price (BSE)</t>
  </si>
  <si>
    <t>Index (of the Designated Stock Exchange): BSE Sensex</t>
  </si>
  <si>
    <t>Sectoral Index# (SME IPO)</t>
  </si>
  <si>
    <t># BSE does not have any sectoral index for this sector.</t>
  </si>
  <si>
    <t>*30th calendar day has been taken as listing date plus 29 calendar days.</t>
  </si>
  <si>
    <t>** 90th calendar day  has been taken as listing date plus 89 calendar days.</t>
  </si>
  <si>
    <r>
      <rPr>
        <b/>
        <i/>
        <sz val="9"/>
        <rFont val="Times New Roman"/>
        <family val="1"/>
      </rPr>
      <t>Note:</t>
    </r>
    <r>
      <rPr>
        <i/>
        <sz val="9"/>
        <rFont val="Times New Roman"/>
        <family val="1"/>
      </rPr>
      <t xml:space="preserve"> 1. Where the 30th day / 90th day / March 31 of a particular year falls on a BSE trading holiday, the immediately following trading day has been considered.</t>
    </r>
  </si>
  <si>
    <t>2. Where the 30th day / 90th day / March 31 of a particular year falls on the day when there is no trade in equity share of the Company , preeceding trading day has been considered.</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</si>
  <si>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</si>
  <si>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</si>
  <si>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</si>
  <si>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As disclosed in the offer document (See Clause (2) (VII) (K) of Schedule VIII to SEBI (ICDR) Regulations, 2009) *</t>
  </si>
  <si>
    <t>At the end of 1st FY  (2015-16)</t>
  </si>
  <si>
    <t xml:space="preserve">At the end of 2nd FY </t>
  </si>
  <si>
    <t>At the end of 3rd FY  (2017-18)</t>
  </si>
  <si>
    <t>EPS (Basic &amp; before Extraordinary Items )</t>
  </si>
  <si>
    <r>
      <t xml:space="preserve">Issuer: </t>
    </r>
    <r>
      <rPr>
        <sz val="10"/>
        <rFont val="Times New Roman"/>
        <family val="1"/>
      </rPr>
      <t>O. P. Chains Limited</t>
    </r>
    <r>
      <rPr>
        <b/>
        <sz val="10"/>
        <rFont val="Times New Roman"/>
        <family val="1"/>
      </rPr>
      <t xml:space="preserve"> **</t>
    </r>
  </si>
  <si>
    <t>Peer Group:</t>
  </si>
  <si>
    <t>Industry Avg:</t>
  </si>
  <si>
    <t>P/E</t>
  </si>
  <si>
    <t>RoNW (%)</t>
  </si>
  <si>
    <t>NAV per share based on balance sheet</t>
  </si>
  <si>
    <t xml:space="preserve">**Source:  Prospectus dated March 18, 2015 - based on restated summary statement for the financial year 2013-14.
</t>
  </si>
  <si>
    <t>* there exists no peer group as states in the prospectus.</t>
  </si>
  <si>
    <t>Any other material information</t>
  </si>
  <si>
    <t>Note: Since the company's share were listed on April 22, 2015 , we are considering March 31, 2016 as the 1st Financial Year.</t>
  </si>
  <si>
    <t>Junction Fabrics and Apparels Limited</t>
  </si>
  <si>
    <t>Rs.160 lakhs</t>
  </si>
  <si>
    <t>1. 22 times</t>
  </si>
  <si>
    <t>(ii) at the end of the 1st Quarter immediately after the listing of the issue (September 30, 2015)</t>
  </si>
  <si>
    <t>*As per the Company's Standalone Audited Financials-BSE</t>
  </si>
  <si>
    <t>Ashmita Agarwal was appointed as Additional Director w.e.f. November 21, 2015;Aggarwal Prem Tanvi ceased to be director w.e.f  November 21, 2015</t>
  </si>
  <si>
    <t>None</t>
  </si>
  <si>
    <t>I Working Capital Requirements 113.50
II Public Issue Expenses 46.50</t>
  </si>
  <si>
    <t># Since the company's share were listed on July 10, 2015 hence the same will be soon updated</t>
  </si>
  <si>
    <t>Working Capital Requirement        :  Rs.113.50 lakhs</t>
  </si>
  <si>
    <t xml:space="preserve"> Public Issue Expenses                    : Rs. 46.50 lakhs</t>
  </si>
  <si>
    <t># Since the company's share were listed on  July 10, 2015 hence the same will be soon updated</t>
  </si>
  <si>
    <t>Rs. 16/-</t>
  </si>
  <si>
    <t>At close of listing day (July 10, 2015)</t>
  </si>
  <si>
    <t xml:space="preserve">At close of 30th calendar day (August 10 ,2015) from listing day </t>
  </si>
  <si>
    <t xml:space="preserve">At close of 90th calendar day(October 7 ,2015) from listing day </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</si>
  <si>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</si>
  <si>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t xml:space="preserve">As disclosed in the offer document (See Clause (2) (VII) (K) of Schedule VIII to SEBI (ICDR) Regulations, 2009) </t>
  </si>
  <si>
    <t>At the end of 3rd FY (2017-18)</t>
  </si>
  <si>
    <r>
      <t xml:space="preserve">Issuer: </t>
    </r>
    <r>
      <rPr>
        <sz val="10"/>
        <rFont val="Times New Roman"/>
        <family val="1"/>
      </rPr>
      <t>Junction Fabrics and Apparels Limited</t>
    </r>
    <r>
      <rPr>
        <b/>
        <sz val="10"/>
        <rFont val="Times New Roman"/>
        <family val="1"/>
      </rPr>
      <t xml:space="preserve"> **</t>
    </r>
  </si>
  <si>
    <t>Kitex Garments Limited</t>
  </si>
  <si>
    <t>SPL Industries Limited</t>
  </si>
  <si>
    <t>--</t>
  </si>
  <si>
    <t>Indian Terrain Fashions Limited</t>
  </si>
  <si>
    <t>NA</t>
  </si>
  <si>
    <t>-</t>
  </si>
  <si>
    <t xml:space="preserve">**Source:  Prospectus dated June 1, 2015 - based on restated summary statement for the financial year 2013-14
</t>
  </si>
  <si>
    <t>Note : Industry average has been calculated by taking the average of peer group companies.</t>
  </si>
  <si>
    <t>Note: Since the company's share were listed on July 10, 2015 , we are considering March 31, 2016 as the 1st Financial Year.</t>
  </si>
  <si>
    <t>Loyal Equipments Limited</t>
  </si>
  <si>
    <t>Rs.324 lakhs</t>
  </si>
  <si>
    <t>1.991 times</t>
  </si>
  <si>
    <t>1st FY *(2015-16)</t>
  </si>
  <si>
    <t>Girish Nathubhai Desai  was appointed as Director on June 11, 2015 &amp; Kalpesh Lalit Chandra Joshi was appointed as Director  on June 12, 2015</t>
  </si>
  <si>
    <t>I Working Capital Requirements :284 Lacs
II Public Issue Expenses 40 Lacs</t>
  </si>
  <si>
    <t># Company</t>
  </si>
  <si>
    <t>Working Capital Requirement        :  Rs.284 lakhs</t>
  </si>
  <si>
    <t xml:space="preserve"> Public Issue Expenses                    : Rs. 40 lakhs</t>
  </si>
  <si>
    <t>Rs. 18/-</t>
  </si>
  <si>
    <t>At close of listing day (July 16, 2015)</t>
  </si>
  <si>
    <t>At close of 30th calendar day from listing day (August 14, 2015)</t>
  </si>
  <si>
    <t>At close of 90th calendar day from listing day (October 12, 2015)</t>
  </si>
  <si>
    <t>At the end of 1st FY (2015-16)</t>
  </si>
  <si>
    <r>
      <t xml:space="preserve">Issuer: </t>
    </r>
    <r>
      <rPr>
        <sz val="10"/>
        <rFont val="Times New Roman"/>
        <family val="1"/>
      </rPr>
      <t>Loyal Equipments Limited</t>
    </r>
    <r>
      <rPr>
        <b/>
        <sz val="10"/>
        <rFont val="Times New Roman"/>
        <family val="1"/>
      </rPr>
      <t xml:space="preserve"> **</t>
    </r>
  </si>
  <si>
    <t>Patels Airtemp (India) Limited</t>
  </si>
  <si>
    <t>ISGEC Heavy Engineering Ltd.</t>
  </si>
  <si>
    <t>GMM Pfaudler Ltd</t>
  </si>
  <si>
    <r>
      <t xml:space="preserve">Issuer: </t>
    </r>
    <r>
      <rPr>
        <sz val="10"/>
        <rFont val="Times New Roman"/>
        <family val="1"/>
      </rPr>
      <t>Loyal Equipments Limited</t>
    </r>
    <r>
      <rPr>
        <b/>
        <sz val="10"/>
        <rFont val="Times New Roman"/>
        <family val="1"/>
      </rPr>
      <t>**</t>
    </r>
  </si>
  <si>
    <t xml:space="preserve">**Source:  Prospectus dated June 29, 2015 - based on restated summary statement for the financial year 2014-15.
</t>
  </si>
  <si>
    <t>Note: Since the company's share were listed on July 16, 2015 , we are considering March 31, 2016 as the 1st Financial Year.</t>
  </si>
  <si>
    <t>Emkay Taps and Cutting Tools  Limited</t>
  </si>
  <si>
    <t>Initial Public Offering (IPO) on SME Platform on NSE limited</t>
  </si>
  <si>
    <t>Rs 1554.96 lakhs</t>
  </si>
  <si>
    <t>1.36 Times</t>
  </si>
  <si>
    <t>(ii) at the end of the 1st Quarter immediately after the listing of the issue (December 31, 2015)</t>
  </si>
  <si>
    <t>Source: NSE</t>
  </si>
  <si>
    <t>*As per the Company's Standalone Audited Financials of the Company-NSE</t>
  </si>
  <si>
    <t>Rahul Ramesh Bagdia and Mahesh Ishwardas Mor was appointed as Director w.e. f April 8, 2015; Ravindra Mahesh Lohiya was appointed as Director w.e.f  April 24, 2015.</t>
  </si>
  <si>
    <t>Since the Issue was an Offer for Sale, there were no objects against which the proceeds were to be utilized</t>
  </si>
  <si>
    <t># Since the company's share were listed on August 13, 2015 hence the same will be soon updated</t>
  </si>
  <si>
    <t>Rs. 330/-</t>
  </si>
  <si>
    <t>At close of listing day (August 13, 2015)</t>
  </si>
  <si>
    <t>At close of 30th calendar day from listing day (September 11 , 2015)</t>
  </si>
  <si>
    <t>At close of 90th calendar day from listing day (November 10, 2015)</t>
  </si>
  <si>
    <t>Market Price (NSE)</t>
  </si>
  <si>
    <t>Index (of the Designated Stock Exchange): CNX Nifty/ Nifty 50</t>
  </si>
  <si>
    <t># NSE does not have any sectoral index for the Machine Tools Industrial sector</t>
  </si>
  <si>
    <r>
      <rPr>
        <b/>
        <i/>
        <sz val="10"/>
        <rFont val="Times New Roman"/>
        <family val="1"/>
      </rPr>
      <t>Note:</t>
    </r>
    <r>
      <rPr>
        <i/>
        <sz val="10"/>
        <rFont val="Times New Roman"/>
        <family val="1"/>
      </rPr>
      <t xml:space="preserve"> 1. Where the 30th day / 90th day / March 31 of a particular year falls on a NSE trading holiday, the immediately following trading day has been considered.</t>
    </r>
  </si>
  <si>
    <t xml:space="preserve">At the end of 3rd FY </t>
  </si>
  <si>
    <r>
      <t xml:space="preserve">Issuer: </t>
    </r>
    <r>
      <rPr>
        <sz val="10"/>
        <rFont val="Times New Roman"/>
        <family val="1"/>
      </rPr>
      <t>Emkay Taps and Cutting Tools Limited</t>
    </r>
    <r>
      <rPr>
        <b/>
        <sz val="10"/>
        <rFont val="Times New Roman"/>
        <family val="1"/>
      </rPr>
      <t xml:space="preserve"> **</t>
    </r>
  </si>
  <si>
    <t>Peer Group:*</t>
  </si>
  <si>
    <t>* there exists no peer group as stated in the prospectus</t>
  </si>
  <si>
    <t>**Source:  Prospectus dated July 20, 2015 - based on restated summary statement for ten months ended on January, 2015.</t>
  </si>
  <si>
    <t>Note: Since the company's share were listed on August 13, 2015 , we are considering March 31, 2016 as the 1st Financial Year.</t>
  </si>
  <si>
    <t>Universal Autofoundry Limited</t>
  </si>
  <si>
    <t>3.18 times</t>
  </si>
  <si>
    <t>*As per the Company's Standalone Audited Financias- BSE</t>
  </si>
  <si>
    <t>Aditi Jain was appointed as Additional Director w.e.f  July 10, 2015</t>
  </si>
  <si>
    <t>Expansion of Manufacturing Facilities
General Corporate Purpose
Issue Expenses.</t>
  </si>
  <si>
    <t xml:space="preserve">I Expansion of Manufacturing Facilities :272 .75 .Lacs
II General Corporate Purpose : 16.25 Lacs                  III. Issue Expenses : 35 Lacs                      </t>
  </si>
  <si>
    <t>Rs. 324 Lacs</t>
  </si>
  <si>
    <t># As per the Information provided by the Company.</t>
  </si>
  <si>
    <t>Expansion of Manufacturing Facilities    :  Rs.272.75 lakhs</t>
  </si>
  <si>
    <t>General Corporate Purpose: Rs. 16.25 Lacs</t>
  </si>
  <si>
    <t xml:space="preserve"> Public Issue Expenses  : Rs. 35 lakhs</t>
  </si>
  <si>
    <t>Rs. 15/-</t>
  </si>
  <si>
    <t>At close of listing day (September 04, 2015)</t>
  </si>
  <si>
    <t>At close of 30th calendar day from listing day (October 05, 2015)</t>
  </si>
  <si>
    <t>At close of 90th calendar day from listing day (December 02, 2015)</t>
  </si>
  <si>
    <t xml:space="preserve">SME IPO Index </t>
  </si>
  <si>
    <t># BSE does not have any sectoral index for the Auto Parts &amp; Equipment sector</t>
  </si>
  <si>
    <t xml:space="preserve">At the end of 3rd FY (2017-18) </t>
  </si>
  <si>
    <r>
      <t xml:space="preserve">Issuer: </t>
    </r>
    <r>
      <rPr>
        <sz val="10"/>
        <rFont val="Times New Roman"/>
        <family val="1"/>
      </rPr>
      <t>Universal Autofoundry Limited</t>
    </r>
    <r>
      <rPr>
        <b/>
        <sz val="10"/>
        <rFont val="Times New Roman"/>
        <family val="1"/>
      </rPr>
      <t xml:space="preserve"> **</t>
    </r>
  </si>
  <si>
    <t xml:space="preserve">Nelcast Limited </t>
  </si>
  <si>
    <t>Amtek Auto</t>
  </si>
  <si>
    <t>--`</t>
  </si>
  <si>
    <t xml:space="preserve">Magna Electrocast Limited </t>
  </si>
  <si>
    <r>
      <t xml:space="preserve">Issuer: </t>
    </r>
    <r>
      <rPr>
        <sz val="10"/>
        <rFont val="Times New Roman"/>
        <family val="1"/>
      </rPr>
      <t>Universal Autofoundry Limited</t>
    </r>
    <r>
      <rPr>
        <b/>
        <sz val="10"/>
        <rFont val="Times New Roman"/>
        <family val="1"/>
      </rPr>
      <t>**</t>
    </r>
  </si>
  <si>
    <t xml:space="preserve">**Source:  Prospectus dated August 06, 2015 - based on restated summary statement for the financial year 2014-15.
</t>
  </si>
  <si>
    <t>` Negative EPS as per Company's Standalone Audited Financials.</t>
  </si>
  <si>
    <t>Note: Since the company's share were listed on September 04, 2015 , we are considering March 31, 2016 as the 1st Financial Year.</t>
  </si>
  <si>
    <t>Bella Casa Fashion and Retail Limited</t>
  </si>
  <si>
    <t>Rs.343 lakhs</t>
  </si>
  <si>
    <t>1.63 Times</t>
  </si>
  <si>
    <t>*As per Company's Standalone Audited Financials-BSE</t>
  </si>
  <si>
    <t>Source; BSE</t>
  </si>
  <si>
    <t>Gunjain Jain  and Kalpana Juneja was appointed as Director w.e.f  July 15, 2015 ; Vikas Mathur  was appointed as Director w.e.f July 31, 2015</t>
  </si>
  <si>
    <t>Working Capital Requirement
Issue Expenses.</t>
  </si>
  <si>
    <t xml:space="preserve">I Working Capital Requirements : 303 .Lacs
II Issue Expenses  40 Lacs                  </t>
  </si>
  <si>
    <t>Rs 343 Lacs</t>
  </si>
  <si>
    <t>#As per the Information provided by the Company.</t>
  </si>
  <si>
    <t>Working Capital Requirement   :  Rs.303 lakhs</t>
  </si>
  <si>
    <t>Issue Expenses: Rs. 40 Lacs</t>
  </si>
  <si>
    <t>Rs. 343 Lacs</t>
  </si>
  <si>
    <t>Rs. 14/-</t>
  </si>
  <si>
    <t>At close of listing day (October 15, 2015)</t>
  </si>
  <si>
    <t>At close of 30th calendar day from listing day (November 13, 2015)</t>
  </si>
  <si>
    <t>At close of 90th calendar day from listing day (January 12, 2016)</t>
  </si>
  <si>
    <t>SME IPO Index</t>
  </si>
  <si>
    <t># BSE does not have any sectoral index for the Textile sector.</t>
  </si>
  <si>
    <r>
      <t xml:space="preserve">Issuer: </t>
    </r>
    <r>
      <rPr>
        <sz val="10"/>
        <rFont val="Times New Roman"/>
        <family val="1"/>
      </rPr>
      <t>Bella Casa Fashion and Retail</t>
    </r>
    <r>
      <rPr>
        <b/>
        <sz val="10"/>
        <rFont val="Times New Roman"/>
        <family val="1"/>
      </rPr>
      <t xml:space="preserve"> </t>
    </r>
    <r>
      <rPr>
        <sz val="10"/>
        <rFont val="Times New Roman"/>
        <family val="1"/>
      </rPr>
      <t>Limited</t>
    </r>
    <r>
      <rPr>
        <b/>
        <sz val="10"/>
        <rFont val="Times New Roman"/>
        <family val="1"/>
      </rPr>
      <t xml:space="preserve"> **</t>
    </r>
  </si>
  <si>
    <t xml:space="preserve">Ashapura Intimates Fashion  </t>
  </si>
  <si>
    <t xml:space="preserve"> Kewal Kiran Clothing </t>
  </si>
  <si>
    <t xml:space="preserve">**Source:  Prospectus dated September 15, 2015 - based on restated summary statement for the financial year 2014-15.
</t>
  </si>
  <si>
    <t>Note: Since the company's share were listed on October 15, 2015 , we are considering March 31, 2016 as the 1st Financial Year.</t>
  </si>
  <si>
    <t>Vishal Bearings Limited</t>
  </si>
  <si>
    <t>1.20 times</t>
  </si>
  <si>
    <t>*As per the Company's Standalone Audited Financials -BSE</t>
  </si>
  <si>
    <t>Nitesh Kumar Jamnadas, Urja Bhupendrabhai Ghetiya &amp; Rakesh Kanji Bhai Samani were appointed as Director w.e.f May 28, 2015;</t>
  </si>
  <si>
    <t xml:space="preserve">(ii) Actual implementation </t>
  </si>
  <si>
    <t xml:space="preserve">I Working Capital Requirements : 286 .Lacs
II Issue Expenses  38 Lacs                  </t>
  </si>
  <si>
    <t>#As per the information provided by the Company</t>
  </si>
  <si>
    <t>Working Capital Requirement   :  Rs.286 lakhs</t>
  </si>
  <si>
    <t>Issue Expenses: Rs. 38 Lacs</t>
  </si>
  <si>
    <t>Rs. 25/-</t>
  </si>
  <si>
    <t># BSE does not have any sectoral index for the Industrial Machinery sector</t>
  </si>
  <si>
    <r>
      <t xml:space="preserve">Issuer: </t>
    </r>
    <r>
      <rPr>
        <sz val="10"/>
        <rFont val="Times New Roman"/>
        <family val="1"/>
      </rPr>
      <t>Vishal Bearings</t>
    </r>
    <r>
      <rPr>
        <b/>
        <sz val="10"/>
        <rFont val="Times New Roman"/>
        <family val="1"/>
      </rPr>
      <t xml:space="preserve"> </t>
    </r>
    <r>
      <rPr>
        <sz val="10"/>
        <rFont val="Times New Roman"/>
        <family val="1"/>
      </rPr>
      <t>Limited</t>
    </r>
    <r>
      <rPr>
        <b/>
        <sz val="10"/>
        <rFont val="Times New Roman"/>
        <family val="1"/>
      </rPr>
      <t xml:space="preserve"> **</t>
    </r>
  </si>
  <si>
    <t>Menon Bearings</t>
  </si>
  <si>
    <t xml:space="preserve">ABC Bearings </t>
  </si>
  <si>
    <t xml:space="preserve">**Source:  Prospectus dated September 16, 2015 - based on restated summary statement for the financial year 2014-15.
</t>
  </si>
  <si>
    <t xml:space="preserve">Arambhan Hospitality Services Limited (Formerly known as Cawasji Behramji Catering Services Limited) </t>
  </si>
  <si>
    <t>Rs.186.20 lakhs</t>
  </si>
  <si>
    <t>2.05 times</t>
  </si>
  <si>
    <t>*As per Company's Standalone Audited Financial Results for the year ended on March 31, 2016-BSE</t>
  </si>
  <si>
    <t>Frequently traded</t>
  </si>
  <si>
    <t>Abhijit Arvind Pradhan &amp; John Philipose was appointed as director w.e.f  April 27, 2015; Shashank Suresh More was appointed as Director w.e.f  June 12, 2015; Pooja Alfred Arambhan and Yateen Madhukar Chodnekar was appointed as director w.e.f Januaray 1, 2016; Aarathi Alfred Arambhan ceased to be director w.e.f. March 31, 2016</t>
  </si>
  <si>
    <t># Since the company's share were listed on October  19 , 2015 hence the same will be soon updated</t>
  </si>
  <si>
    <t>#</t>
  </si>
  <si>
    <t># Since the company's share were listed on October 19, 2015 hence the same will be soon updated</t>
  </si>
  <si>
    <t>At close of listing day (October 19, 2015)</t>
  </si>
  <si>
    <t>At close of 30th calendar day from listing day (November 17, 2015)</t>
  </si>
  <si>
    <t>At close of 90th calendar day from listing day (January 16, 2015)</t>
  </si>
  <si>
    <t># BSE does not have any sectoral index for the Food Services Industrial sector</t>
  </si>
  <si>
    <r>
      <t xml:space="preserve">Issuer: </t>
    </r>
    <r>
      <rPr>
        <sz val="10"/>
        <rFont val="Times New Roman"/>
        <family val="1"/>
      </rPr>
      <t>Cawasji Behramji Catering Services Limited</t>
    </r>
    <r>
      <rPr>
        <b/>
        <sz val="10"/>
        <rFont val="Times New Roman"/>
        <family val="1"/>
      </rPr>
      <t xml:space="preserve"> **</t>
    </r>
  </si>
  <si>
    <t>Incorporation of Wholly owned offshore subsidiary in Dubai w.e.f November 11, 2015</t>
  </si>
  <si>
    <t>Name of the Company was Changed to Arambhan Hospitality Services Limited</t>
  </si>
  <si>
    <t>Note: Since the company's share were listed on October 19, 2015 , we are considering March 31, 2016 as the 1st Financial Year.</t>
  </si>
  <si>
    <t>Raghav Ramming Mass Limited</t>
  </si>
  <si>
    <t>Initial Public Offering (IPO) on SME Platform on BSE limited</t>
  </si>
  <si>
    <t>Rs 748.80 lakhs</t>
  </si>
  <si>
    <t>1.37 Times</t>
  </si>
  <si>
    <t>(ii) at the end of the 1st Quarter immediately after the listing of the issue (June 30, 2016)</t>
  </si>
  <si>
    <t>will be updated at the end of 3rd F.Y.</t>
  </si>
  <si>
    <t>1st FY *</t>
  </si>
  <si>
    <t>will be                                                 updated at                                            the end of                                               3rd F.Y.</t>
  </si>
  <si>
    <t>*BSE Ltd.</t>
  </si>
  <si>
    <t>Appointment of Rajesh Malhotra as Director 17/10/2016</t>
  </si>
  <si>
    <t xml:space="preserve">(iii) Reasons for delay in implementation, if any </t>
  </si>
  <si>
    <t>To meet working Capital Requirement                                       Issue expenses</t>
  </si>
  <si>
    <t>1. Working Capital Requirement-720.80 Lacs                                 2. Issue Expenses- 28 Lacs</t>
  </si>
  <si>
    <t># Since the company's share were listed on April 13, 2016 hence the same will be soon updated</t>
  </si>
  <si>
    <t>Working Cpital Requirements: 720.80; Public Issue Expenses: 28</t>
  </si>
  <si>
    <t># Since the company's share were listed on April13, 2016 hence the same will be soon updated</t>
  </si>
  <si>
    <t>Rs.39/-</t>
  </si>
  <si>
    <t>At close of listing day (April 13, 2016)</t>
  </si>
  <si>
    <t>At close of 30th calendar day from listing day (May 13, 2016)</t>
  </si>
  <si>
    <t>At close of 90th calendar day from listing day (July 12, 2016)</t>
  </si>
  <si>
    <t>Index (of the Designated Stock Exchange): BSE SENSEX</t>
  </si>
  <si>
    <t># BSE does not have any sectoral index for the Mining sector</t>
  </si>
  <si>
    <t xml:space="preserve">At the end of 1st FY </t>
  </si>
  <si>
    <r>
      <t xml:space="preserve">Issuer: </t>
    </r>
    <r>
      <rPr>
        <sz val="10"/>
        <rFont val="Times New Roman"/>
        <family val="1"/>
      </rPr>
      <t>Raghav Ramming Mass Limited</t>
    </r>
    <r>
      <rPr>
        <b/>
        <sz val="10"/>
        <rFont val="Times New Roman"/>
        <family val="1"/>
      </rPr>
      <t xml:space="preserve"> **</t>
    </r>
  </si>
  <si>
    <t xml:space="preserve">Will be                              updated at                             the end                                      of 3rd F.Y. </t>
  </si>
  <si>
    <t>**Source:  Prospectus dated march 14 2016 - based on restated summary statement for six months ended on September, 2015.</t>
  </si>
  <si>
    <t>Name of the Company was changed to Raghav  Productivity Enhancers Limited</t>
  </si>
  <si>
    <t>Note: Since the company's share were listed on April 13, 2016 , we are considering March 31, 2017 as the 1st Financial Year.</t>
  </si>
  <si>
    <t>Madhya Bharat Agro Products Limited</t>
  </si>
  <si>
    <t>Rs 1389.60 lakhs</t>
  </si>
  <si>
    <t>7.38 Times</t>
  </si>
  <si>
    <t>(ii) at the end of the 1st Quarter immediately after the listing of the issue (December 31, 2016)</t>
  </si>
  <si>
    <t>*NSE Ltd.</t>
  </si>
  <si>
    <t>Rs.24/-</t>
  </si>
  <si>
    <t>At close of listing day (September 12, 2016)</t>
  </si>
  <si>
    <t>At close of 30th calendar day from listing day (October12, 2016)</t>
  </si>
  <si>
    <t xml:space="preserve">At close of 90th calendar day from listing day </t>
  </si>
  <si>
    <t># NSE Emerge does not have any sectoral index for the Fertiliser sector</t>
  </si>
  <si>
    <r>
      <t xml:space="preserve">Issuer: </t>
    </r>
    <r>
      <rPr>
        <sz val="10"/>
        <rFont val="Times New Roman"/>
        <family val="1"/>
      </rPr>
      <t>Madhya Bharat Agro Products Limited</t>
    </r>
    <r>
      <rPr>
        <b/>
        <sz val="10"/>
        <rFont val="Times New Roman"/>
        <family val="1"/>
      </rPr>
      <t xml:space="preserve"> **</t>
    </r>
  </si>
  <si>
    <t>Rama Phosphates Limited</t>
  </si>
  <si>
    <t>Khaitan Chemicals &amp; Fertilizers Limited</t>
  </si>
  <si>
    <t>Shree Pushkar Chemicals &amp; Fertilizers Limited</t>
  </si>
  <si>
    <t>**Source:  Prospectus dated August 17, 2016 - based on restated summary statement for year ended on March 31, 2016..</t>
  </si>
  <si>
    <t>Note: Since the company's share were listed on September 12, 2016 , we are considering March 31, 2017 as the 1st Financial Year.</t>
  </si>
  <si>
    <t>Aurangabad Distillery Limited</t>
  </si>
  <si>
    <t>Rs 770  lakhs</t>
  </si>
  <si>
    <t>8.75 Times</t>
  </si>
  <si>
    <t>(ii) at the end of the 1st Quarter immediately after the listing of the issue (January 31, 2017)</t>
  </si>
  <si>
    <t>*Will be upadted once the company makes necessary disclosures on the website of NSE Ltd.</t>
  </si>
  <si>
    <t>Repayment /Prepayment of Secured and Unsecured Loan                                    Issue expenses                                                                           General Corporate Purposes</t>
  </si>
  <si>
    <t>1. Repayment /Prepayment of Secured and Unsecured Loan-589.71 Lacs                                                                                              2. Issue Expenses- 40 Lacs                                                                   3. General Corporate Purposes- 140.29 Lacs</t>
  </si>
  <si>
    <t># Since the company's share were listed on October 17, 2016 hence the same will be soon updated</t>
  </si>
  <si>
    <t>1. Repayment /Prepayment of Secured and Unsecured Loan - 589.71 Lacs                                                                                              2. Issue Expenses- 40 Lacs                                                                                                                                                                          3. General Corporate Purposes- 140.29 Lacs</t>
  </si>
  <si>
    <t>Rs.35/-</t>
  </si>
  <si>
    <t>At close of listing day (October 17, 2016)</t>
  </si>
  <si>
    <t>At close of 30th calendar day from listing day November 16 , 2016)</t>
  </si>
  <si>
    <t>At close of 90th calendar day from listing day January 13, 2017)</t>
  </si>
  <si>
    <t># NSE does not have any sectoral index for the Mining sector</t>
  </si>
  <si>
    <r>
      <t xml:space="preserve">Issuer: </t>
    </r>
    <r>
      <rPr>
        <sz val="10"/>
        <rFont val="Times New Roman"/>
        <family val="1"/>
      </rPr>
      <t>Aurangabad Distillery Limited</t>
    </r>
    <r>
      <rPr>
        <b/>
        <sz val="10"/>
        <rFont val="Times New Roman"/>
        <family val="1"/>
      </rPr>
      <t xml:space="preserve"> **</t>
    </r>
  </si>
  <si>
    <t>Globus Spirit Limited</t>
  </si>
  <si>
    <t>Som Distilleries Limited</t>
  </si>
  <si>
    <t>**Source:  Prospectus dated September 22, 2016 - based on restated summary statement for period ended on March, 2016.</t>
  </si>
  <si>
    <t>Note: Since the company's share were listed on October 17, 2016 , we are considering March 31, 2017 as the 1st Financial Year.</t>
  </si>
  <si>
    <t>Pansari Developers Limited</t>
  </si>
  <si>
    <t>Rs 1019.04 lakhs</t>
  </si>
  <si>
    <t>1.55 Times</t>
  </si>
  <si>
    <t xml:space="preserve">1st FY </t>
  </si>
  <si>
    <t>2nd FY *</t>
  </si>
  <si>
    <t>will be                                                 updated at                                            the end of                                               2nd F.Y.</t>
  </si>
  <si>
    <t>Working Capital Requirement                                                           Issue expenses                                                                           General Corporate Purposes</t>
  </si>
  <si>
    <t>1. Working Capital requirement-900 Lacs                                                                                              2. Issue Expenses- 38 Lacs                                                                   3. General Corporate Purposes- 81.04 Lacs</t>
  </si>
  <si>
    <t># Since the company's share were listed on October 18, 2016 hence the same will be soon updated</t>
  </si>
  <si>
    <t>1. Working Capital requirement-900 Lacs                                                                                                                                                             2. Issue Expenses- 38 Lacs                                                                                                                                                                         3. General Corporate Purposes- 81.04 Lacs</t>
  </si>
  <si>
    <t>Rs.22/-</t>
  </si>
  <si>
    <t>At close of listing day (October 18, 2016)</t>
  </si>
  <si>
    <t xml:space="preserve">At close of 30th calendar day from listing day </t>
  </si>
  <si>
    <r>
      <t xml:space="preserve">Issuer: </t>
    </r>
    <r>
      <rPr>
        <sz val="10"/>
        <rFont val="Times New Roman"/>
        <family val="1"/>
      </rPr>
      <t>Pansari Developers Limited</t>
    </r>
    <r>
      <rPr>
        <b/>
        <sz val="10"/>
        <rFont val="Times New Roman"/>
        <family val="1"/>
      </rPr>
      <t xml:space="preserve"> **</t>
    </r>
  </si>
  <si>
    <t>Sunteck Realty Limited</t>
  </si>
  <si>
    <t>Sri Krishna Construction (India) Limited</t>
  </si>
  <si>
    <t>Ansal Buildwell Limited</t>
  </si>
  <si>
    <t>Note: Since the company's share were listed on October 18, 2016 , we are considering March 31, 2017 as the 1st Financial Year.</t>
  </si>
  <si>
    <t>Globe International Carriers Limited</t>
  </si>
  <si>
    <t>Rs 516.96 lakhs</t>
  </si>
  <si>
    <t>2.08 Times</t>
  </si>
  <si>
    <t xml:space="preserve">Working Capital Requirement                                                           Issue expenses                                                                           </t>
  </si>
  <si>
    <t xml:space="preserve">1. Working Capital requirement-476.91 Lacs                                                                                              2. Issue Expenses- 40.05 Lacs                                                                   </t>
  </si>
  <si>
    <r>
      <rPr>
        <sz val="10"/>
        <color theme="1" tint="4.9989318521683403E-2"/>
        <rFont val="Times New Roman"/>
        <family val="1"/>
      </rPr>
      <t xml:space="preserve">1. Working Capital requirement-476.91 Lacs                                                                                              2. Issue Expenses- 40.05 Lacs       </t>
    </r>
    <r>
      <rPr>
        <b/>
        <sz val="10"/>
        <color theme="1" tint="4.9989318521683403E-2"/>
        <rFont val="Times New Roman"/>
        <family val="1"/>
      </rPr>
      <t xml:space="preserve">                                                            </t>
    </r>
  </si>
  <si>
    <t xml:space="preserve">1. Working Capital requirement-476.91 Lacs                                                                                                                                                 2. Issue Expenses- 40.05 Lacs                                                                   </t>
  </si>
  <si>
    <t>1. Working Capital requirement-476.91 Lacs                                                                                                                                                 2. Issue Expenses- 40.05 Lacs</t>
  </si>
  <si>
    <t>At close of listing day (October 19, 2016)</t>
  </si>
  <si>
    <r>
      <t xml:space="preserve">Issuer: </t>
    </r>
    <r>
      <rPr>
        <sz val="10"/>
        <rFont val="Times New Roman"/>
        <family val="1"/>
      </rPr>
      <t>Globe International Carriers Limited</t>
    </r>
    <r>
      <rPr>
        <b/>
        <sz val="10"/>
        <rFont val="Times New Roman"/>
        <family val="1"/>
      </rPr>
      <t xml:space="preserve"> **</t>
    </r>
  </si>
  <si>
    <t>VRL Logistics Limited</t>
  </si>
  <si>
    <t>Patel Integrated Logistics Limited</t>
  </si>
  <si>
    <t>Note: Since the company's share were listed on October 19, 2016 , we are considering March 31, 2017 as the 1st Financial Year.</t>
  </si>
  <si>
    <t>Dhanuka Realty Limited</t>
  </si>
  <si>
    <t>Rs 422.40 lakhs</t>
  </si>
  <si>
    <t>2.60 Times</t>
  </si>
  <si>
    <t>3rd FY *</t>
  </si>
  <si>
    <t>*Will be updated once the company makes necessary disclosures on the website of NSE Ltd.</t>
  </si>
  <si>
    <t xml:space="preserve">Working Capital Requirement                                                           Issue expenses                                                                          General Corporate Purposes                                                                  </t>
  </si>
  <si>
    <t xml:space="preserve">1. Working Capital requirement-324.04 Lacs                                                                                              2. Issue Expenses- 35 Lacs                                                          3.General corporate Purposes- 63.36 Lacs                                                              </t>
  </si>
  <si>
    <t xml:space="preserve">1. Working Capital requirement-324.04 Lacs                                                                                                                                                2. Issue Expenses- 35 Lacs                                                                                                                                                                   3.General corporate Purposes- 63.36 Lacs                                                              </t>
  </si>
  <si>
    <t>Rs.40/-</t>
  </si>
  <si>
    <t>At the end of 2nd FY `</t>
  </si>
  <si>
    <r>
      <t xml:space="preserve">Issuer: </t>
    </r>
    <r>
      <rPr>
        <sz val="10"/>
        <rFont val="Times New Roman"/>
        <family val="1"/>
      </rPr>
      <t>Dhanuka Realty  Limited</t>
    </r>
    <r>
      <rPr>
        <b/>
        <sz val="10"/>
        <rFont val="Times New Roman"/>
        <family val="1"/>
      </rPr>
      <t xml:space="preserve"> **</t>
    </r>
  </si>
  <si>
    <t>Alpine Housing Limited</t>
  </si>
  <si>
    <t>Sri Krishna Constructions (India) Limited</t>
  </si>
  <si>
    <t>Ashiana Housing Limited</t>
  </si>
  <si>
    <t>` shall be updated as when the Company make the disclosure of same on its website.</t>
  </si>
  <si>
    <t>Art Nirman Limited</t>
  </si>
  <si>
    <t>Rs 501.00 lakhs</t>
  </si>
  <si>
    <t xml:space="preserve">Working Capital Requirement                                                       General Corporate Purposes                                                  Issue expenses                                                                           </t>
  </si>
  <si>
    <t xml:space="preserve">1. Working Capital requirement- 425 Lacs                                     2. General Corporate Purposes- 36 Lacs                                                                                     3. Issue Expenses- 40 Lacs                                                                   </t>
  </si>
  <si>
    <t># Since the company's share were listed on October 19, 2016 hence the same will be soon updated</t>
  </si>
  <si>
    <t xml:space="preserve">1. Working Capital requirement- 425 Lacs                                                                                                                                             2. General Corporate Purposes- 36 Lacs                                                                                                                                                         3. Issue Expenses- 40 Lacs                                                                   </t>
  </si>
  <si>
    <r>
      <t xml:space="preserve">Issuer: </t>
    </r>
    <r>
      <rPr>
        <sz val="10"/>
        <rFont val="Times New Roman"/>
        <family val="1"/>
      </rPr>
      <t>Art Nirman Limited</t>
    </r>
    <r>
      <rPr>
        <b/>
        <sz val="10"/>
        <rFont val="Times New Roman"/>
        <family val="1"/>
      </rPr>
      <t xml:space="preserve"> **</t>
    </r>
  </si>
  <si>
    <t>Godrej Properties Limited</t>
  </si>
  <si>
    <t>Ajmera Realty &amp; Infra (I) Limited</t>
  </si>
  <si>
    <t>**Source:  Prospectus dated September 26, 2016 - based on restated summary statement for period ended on March, 2016.</t>
  </si>
  <si>
    <t>Krishana Phoschem Limited</t>
  </si>
  <si>
    <t>Rs 1972.80 lakhs</t>
  </si>
  <si>
    <t>32.89 Times</t>
  </si>
  <si>
    <t xml:space="preserve">(ii) at the end of the 1st Quarter immediately after the listing of the issue </t>
  </si>
  <si>
    <t>will be updated at the end of 1st F.Y.</t>
  </si>
  <si>
    <t>will be updated at the end of 2nd F.Y.</t>
  </si>
  <si>
    <t>Rs.30/-</t>
  </si>
  <si>
    <t>At close of listing day (February 27, 2017)</t>
  </si>
  <si>
    <t>At close of 90th calendar day from listing day</t>
  </si>
  <si>
    <t xml:space="preserve">At the end of 1st FY (2017-18) </t>
  </si>
  <si>
    <r>
      <t xml:space="preserve">Issuer: </t>
    </r>
    <r>
      <rPr>
        <sz val="10"/>
        <rFont val="Times New Roman"/>
        <family val="1"/>
      </rPr>
      <t>Krishana Phoschem Limited</t>
    </r>
    <r>
      <rPr>
        <b/>
        <sz val="10"/>
        <rFont val="Times New Roman"/>
        <family val="1"/>
      </rPr>
      <t xml:space="preserve"> **</t>
    </r>
  </si>
  <si>
    <t xml:space="preserve">Will be                              updated at                             the end                                      of 2nd F.Y. </t>
  </si>
  <si>
    <t>Aries Agro limited</t>
  </si>
  <si>
    <t>Coromandel International limited</t>
  </si>
  <si>
    <r>
      <t>Issuer: Krishana Phoschem Limited</t>
    </r>
    <r>
      <rPr>
        <b/>
        <sz val="10"/>
        <rFont val="Times New Roman"/>
        <family val="1"/>
      </rPr>
      <t xml:space="preserve"> **</t>
    </r>
  </si>
  <si>
    <t>**Source:  Prospectus dated February 06, 2017 - based on restated summary statement for year ended on November 30, 2016.</t>
  </si>
  <si>
    <t>Note: Since the company's share were listed on February 27, 2017, we are considering March 31, 2018 as the 1st Financial Year.</t>
  </si>
  <si>
    <t>RMC Switchgears Limited</t>
  </si>
  <si>
    <t>Rs 414.72 lakhs (Offer for sale- 207.36 lakhs)</t>
  </si>
  <si>
    <t>19.41 Times</t>
  </si>
  <si>
    <t>(ii) at the end of the 1st Quarter immediately after the listing of the issue (March 31, 2017)</t>
  </si>
  <si>
    <t xml:space="preserve">2nd FY* </t>
  </si>
  <si>
    <t xml:space="preserve">1. Working Capital requirement- 155 Lacs                                     2. General Corporate Purposes- 39.36 Lacs                                                                                     3. Issue Expenses- 13.00 Lacs                                                                   </t>
  </si>
  <si>
    <t>* the issue includes an offer for sale of Rs 207.36 Lakhsby selling shareholders</t>
  </si>
  <si>
    <t xml:space="preserve">1. Working Capital requirement- 155 Lacs
2. General Corporate Purposes- 39.36 Lacs
3. Issue Expenses- 13.00 Lacs                                                                   </t>
  </si>
  <si>
    <t># Since the company's share were listed on March 14, 2017 hence the same will be soon updated</t>
  </si>
  <si>
    <t>Rs.27/-</t>
  </si>
  <si>
    <t>At close of listing day (March 14, 2017)</t>
  </si>
  <si>
    <t>At close of 30th calendar day from listing day</t>
  </si>
  <si>
    <r>
      <t xml:space="preserve">Issuer: </t>
    </r>
    <r>
      <rPr>
        <sz val="10"/>
        <rFont val="Times New Roman"/>
        <family val="1"/>
      </rPr>
      <t>RMC Switchgears Limited</t>
    </r>
    <r>
      <rPr>
        <b/>
        <sz val="10"/>
        <rFont val="Times New Roman"/>
        <family val="1"/>
      </rPr>
      <t xml:space="preserve"> **</t>
    </r>
  </si>
  <si>
    <t>Veto Switchgears and Cables Limited</t>
  </si>
  <si>
    <t>Star Delta Transformers Limited</t>
  </si>
  <si>
    <t>**Source:  Prospectus dated February 20, 2017 - based on restated summary statement for period ended on September 2016.</t>
  </si>
  <si>
    <t>Note: Since the company's share were listed on March 14, 2017, we are considering March 31, 2017 as the 1st Financial Year.</t>
  </si>
  <si>
    <t>Global Education Limited</t>
  </si>
  <si>
    <t>Initial Public Offering (IPO) on SME Platform on NSE limited (Book Built Issue)</t>
  </si>
  <si>
    <t xml:space="preserve">Rs 1024.50 lakhs </t>
  </si>
  <si>
    <t>82.25 Times</t>
  </si>
  <si>
    <t xml:space="preserve">1. Working Capital requirement- 715.50 Lacs                                     2. General Corporate Purposes- 224.90 Lacs                                                                                     3. Issue Expenses- 84.10 Lacs                                                                   </t>
  </si>
  <si>
    <t># Since the company's share were listed on March 02, 2017 hence the same will be soon updated</t>
  </si>
  <si>
    <t xml:space="preserve">1. Working Capital requirement- 715.50 Lacs 
2. General Corporate Purposes- 224.90 Lacs 
3. Issue Expenses- 84.10 Lacs                                                                   </t>
  </si>
  <si>
    <t>Rs.150/-</t>
  </si>
  <si>
    <t>At close of listing day (March 02, 2017)</t>
  </si>
  <si>
    <r>
      <rPr>
        <b/>
        <i/>
        <sz val="10"/>
        <rFont val="Times New Roman"/>
        <family val="1"/>
      </rPr>
      <t>Note:</t>
    </r>
    <r>
      <rPr>
        <i/>
        <sz val="10"/>
        <rFont val="Times New Roman"/>
        <family val="1"/>
      </rPr>
      <t xml:space="preserve"> 1. Where the 30th day / 90th day / March 31 of a particular year falls on a trading holiday, the immediately following trading day has been considered.</t>
    </r>
  </si>
  <si>
    <r>
      <t xml:space="preserve">Issuer: </t>
    </r>
    <r>
      <rPr>
        <sz val="10"/>
        <rFont val="Times New Roman"/>
        <family val="1"/>
      </rPr>
      <t>Global Education Limited</t>
    </r>
    <r>
      <rPr>
        <b/>
        <sz val="10"/>
        <rFont val="Times New Roman"/>
        <family val="1"/>
      </rPr>
      <t xml:space="preserve"> **</t>
    </r>
  </si>
  <si>
    <t>MT Educare</t>
  </si>
  <si>
    <t>Teamlease Services Limited</t>
  </si>
  <si>
    <t>**Source:  Prospectus dated February 22, 2017 - based on restated summary statement for period ended on September 2016.</t>
  </si>
  <si>
    <t>Note: Since the company's share were listed on March 02, 2017, we are considering March 31, 2017 as the 1st Financial Year.</t>
  </si>
  <si>
    <t>Laxmi Cotspin Limited</t>
  </si>
  <si>
    <t xml:space="preserve">Rs 960.00 lakhs </t>
  </si>
  <si>
    <t>5.67Times</t>
  </si>
  <si>
    <t>(ii) at the end of the 1st Quarter immediately after the listing of the issue (June 30, 2017)</t>
  </si>
  <si>
    <t>Rs.20.00/-</t>
  </si>
  <si>
    <t>At close of listing day (March 31, 2017)</t>
  </si>
  <si>
    <r>
      <t xml:space="preserve">Issuer: </t>
    </r>
    <r>
      <rPr>
        <sz val="10"/>
        <rFont val="Times New Roman"/>
        <family val="1"/>
      </rPr>
      <t>Laxmi Cotspin Limited</t>
    </r>
    <r>
      <rPr>
        <b/>
        <sz val="10"/>
        <rFont val="Times New Roman"/>
        <family val="1"/>
      </rPr>
      <t xml:space="preserve"> **</t>
    </r>
  </si>
  <si>
    <t>Nagreeka Exports</t>
  </si>
  <si>
    <t>*Source:  Prospectus dated March 09, 2017 - based on restated summary statement for period ended on March, 2017.</t>
  </si>
  <si>
    <t>Note: Since the company's share were listed on March 31, 2017, we are considering March 31, 2018 as the 1st Financial Year.</t>
  </si>
  <si>
    <t>Reserves</t>
  </si>
  <si>
    <t>Rs.42/-</t>
  </si>
  <si>
    <t>At the end of 1st FY `</t>
  </si>
  <si>
    <t>Vadivarhe Speciality Chemicals Limited</t>
  </si>
  <si>
    <t>Rs 1446.48 lakhs (Offer for sale- 1157.10 lakhs)</t>
  </si>
  <si>
    <t>39.88 Times</t>
  </si>
  <si>
    <t xml:space="preserve">1. Working Capital requirement- 245.38 Lacs                                     2. General Corporate Purposes- 20.00 Lacs                                                                                     3. Issue Expenses- 24.00 Lacs                                                                   </t>
  </si>
  <si>
    <t>*The issue includes an offer for sale of Rs. 1157.10 Lacs by selling shareholders.</t>
  </si>
  <si>
    <t># Since the company's share were listed on June 02, 2017 hence the same will be soon updated</t>
  </si>
  <si>
    <t xml:space="preserve">1. Working Capital requirement- 245.38 Lacs
2. General Corporate Purposes- 20.00 Lacs
3. Issue Expenses- 24.00 Lacs                                                                   </t>
  </si>
  <si>
    <t>At close of listing day (June 02, 2017)</t>
  </si>
  <si>
    <r>
      <t xml:space="preserve">Issuer: </t>
    </r>
    <r>
      <rPr>
        <sz val="10"/>
        <rFont val="Times New Roman"/>
        <family val="1"/>
      </rPr>
      <t>Vadivarhe Speciality Chemicals Limited *</t>
    </r>
    <r>
      <rPr>
        <b/>
        <sz val="10"/>
        <rFont val="Times New Roman"/>
        <family val="1"/>
      </rPr>
      <t>*</t>
    </r>
  </si>
  <si>
    <t>Aarti Industries Limited</t>
  </si>
  <si>
    <t>Alkyl Amines Chemicals Limited</t>
  </si>
  <si>
    <t>Indo Amines Limited</t>
  </si>
  <si>
    <t>Vivimed labs Limited</t>
  </si>
  <si>
    <t>**Source:  Prospectus dated May 15, 2017 - based on restated summary statement for period ended on March, 2017.</t>
  </si>
  <si>
    <t>Note: Since the company's share were listed on June 02, 2017 , we are considering March 31, 2018 as the 1st Financial Year.</t>
  </si>
  <si>
    <t>Globe Textiles (India) Limited</t>
  </si>
  <si>
    <t>Rs 1370.88 lakhs (Offer for sale- 673.2 lakhs)</t>
  </si>
  <si>
    <t>2.48 Times</t>
  </si>
  <si>
    <t xml:space="preserve">1. Working Capital requirement- 630 Lacs                                     2. General Corporate Purposes- 30.08 Lacs                                                                                     3. Issue Expenses- 37.60 Lacs                                                                   </t>
  </si>
  <si>
    <t>*the issue also includes an offer for sale of Rs 673.20 lakhs</t>
  </si>
  <si>
    <t># Since the company's share were listed on June 23, 2017 hence the same will be soon updated</t>
  </si>
  <si>
    <t xml:space="preserve">1. Working Capital requirement- 630 Lacs                                                                                                                                             2. General Corporate Purposes- 30.08Lacs                                                                                                                                                         3. Issue Expenses- 37.60 Lacs                                                                   </t>
  </si>
  <si>
    <t>Rs.51/-</t>
  </si>
  <si>
    <t>At close of listing day (June 23, 2017)</t>
  </si>
  <si>
    <r>
      <t xml:space="preserve">Issuer: </t>
    </r>
    <r>
      <rPr>
        <sz val="10"/>
        <rFont val="Times New Roman"/>
        <family val="1"/>
      </rPr>
      <t>Globe Textiles (India) Limited</t>
    </r>
    <r>
      <rPr>
        <b/>
        <sz val="10"/>
        <rFont val="Times New Roman"/>
        <family val="1"/>
      </rPr>
      <t xml:space="preserve"> **</t>
    </r>
  </si>
  <si>
    <t>Ashapura Intimates Fashion Ltd.</t>
  </si>
  <si>
    <t>Bella Casa Fashion &amp; Retail Ltd</t>
  </si>
  <si>
    <t>Kewal Kiran Clothing Ltd</t>
  </si>
  <si>
    <t>Libas Designs Ltd.</t>
  </si>
  <si>
    <t>S.P. Apparels Ltd</t>
  </si>
  <si>
    <t>**Source:  Prospectus dated June 05, 2017 - based on restated summary statement for period ended on March, 2017.</t>
  </si>
  <si>
    <t>Note: Since the company's share were listed on June 23, 2017 , we are considering March 31, 2018 as the 1st Financial Year.</t>
  </si>
  <si>
    <t>Accord Synergy Limited</t>
  </si>
  <si>
    <t>Rs 583.20 lakhs</t>
  </si>
  <si>
    <t>139.55Times</t>
  </si>
  <si>
    <t>(ii) at the end of the 1st Quarter immediately after the listing of the issue (Sept 30, 2017)</t>
  </si>
  <si>
    <t xml:space="preserve">1. Working Capital requirement- 435.03 Lacs                                    2. General Corporate Purposes- 87.48 Lacs                                                                                    3. Issue Expenses-60.69 Lacs                                                                   </t>
  </si>
  <si>
    <t># Since the company's share were listed on July 06, 2017 hence the same will be soon updated</t>
  </si>
  <si>
    <t xml:space="preserve">1. Working Capital requirement- 435.03 Lacs                                                                                                                                             2. General Corporate Purposes- 87.48 Lacs                                                                                                                                                         3. Issue Expenses-60.69 Lacs                                                                   </t>
  </si>
  <si>
    <t>Rs.60/-</t>
  </si>
  <si>
    <t>At close of listing day (July 06, 2017)</t>
  </si>
  <si>
    <r>
      <t xml:space="preserve">Issuer: </t>
    </r>
    <r>
      <rPr>
        <sz val="10"/>
        <rFont val="Times New Roman"/>
        <family val="1"/>
      </rPr>
      <t>Accord Synergy Limited</t>
    </r>
    <r>
      <rPr>
        <b/>
        <sz val="10"/>
        <rFont val="Times New Roman"/>
        <family val="1"/>
      </rPr>
      <t xml:space="preserve"> **</t>
    </r>
  </si>
  <si>
    <r>
      <t xml:space="preserve">Issuer: </t>
    </r>
    <r>
      <rPr>
        <sz val="10"/>
        <rFont val="Times New Roman"/>
        <family val="1"/>
      </rPr>
      <t xml:space="preserve">Accord Synergy Limited </t>
    </r>
    <r>
      <rPr>
        <b/>
        <sz val="10"/>
        <rFont val="Times New Roman"/>
        <family val="1"/>
      </rPr>
      <t xml:space="preserve"> **</t>
    </r>
  </si>
  <si>
    <t>**Source:  Prospectus dated June 12, 2017 - based on restated summary statement for period ended on December 31, 2016</t>
  </si>
  <si>
    <t>Note: Since the company's share were listed on July 06, 2017 , we are considering March 31, 2018 as the 1st Financial Year.</t>
  </si>
  <si>
    <t>Captain Technocast Limited</t>
  </si>
  <si>
    <t>Rs 570 lakhs (Offer for sale- 240 lakhs)</t>
  </si>
  <si>
    <t>13.83Times</t>
  </si>
  <si>
    <t>*Will be upadted once the company makes necessary disclosures on the website of  BSE Ltd.</t>
  </si>
  <si>
    <t xml:space="preserve">1. Working Capital requirement- 298.30 Lacs                                    2. General Corporate Purposes-15.50 Lacs                                                                                    3. Issue Expenses-16.20Lacs                                                                   </t>
  </si>
  <si>
    <t xml:space="preserve">1. Working Capital requirement- 298.30Lacs                                                                                                                                             2. General Corporate Purposes-15.50 Lacs                                                                                                                                                         3. Issue Expenses-16.20 Lacs                                                                   </t>
  </si>
  <si>
    <t>At close of listing day (August 01 ,2017)</t>
  </si>
  <si>
    <t>Index (of the Designated Stock Exchange):BSE SENSEX</t>
  </si>
  <si>
    <r>
      <t xml:space="preserve">Issuer: </t>
    </r>
    <r>
      <rPr>
        <sz val="10"/>
        <rFont val="Times New Roman"/>
        <family val="1"/>
      </rPr>
      <t>Captain TechnocatsLimited</t>
    </r>
    <r>
      <rPr>
        <b/>
        <sz val="10"/>
        <rFont val="Times New Roman"/>
        <family val="1"/>
      </rPr>
      <t xml:space="preserve"> **</t>
    </r>
  </si>
  <si>
    <t>Bhagwati Autocast Ltd</t>
  </si>
  <si>
    <t>Carnation Industries Ltd.</t>
  </si>
  <si>
    <t>Investment &amp; Precision Castings Ltd.</t>
  </si>
  <si>
    <t xml:space="preserve">8.48 
</t>
  </si>
  <si>
    <t xml:space="preserve">Nitin Castings Limited </t>
  </si>
  <si>
    <t xml:space="preserve">4.76 
</t>
  </si>
  <si>
    <t>**Source:  Prospectus dated July 13, 2017 - based on restated summary statement for period ended onMarch 31, 2017</t>
  </si>
  <si>
    <t>Note: Since the company's share were listed on August 01 2017 , we are considering March 31, 2018 as the 1st Financial Year.</t>
  </si>
  <si>
    <t>Shanti Overseas (India) Limited</t>
  </si>
  <si>
    <t>Rs 1002 lakhs</t>
  </si>
  <si>
    <t>14.31 Times</t>
  </si>
  <si>
    <t>(Rs. )</t>
  </si>
  <si>
    <t>* NSE Ltd.</t>
  </si>
  <si>
    <t xml:space="preserve">1. To purchase machineries - 274.10 Lacs                                    2. Investment in subsidiary- 455 Lacs                                                                                    3. General Corporate  Expenses-192.82 Lacs                           4. To meet issue expenses 80.08 Lacs                                                                </t>
  </si>
  <si>
    <t># Since the company's share were listed on August 03, 2017 hence the same will be soon updated</t>
  </si>
  <si>
    <t xml:space="preserve">1. To purchase machineries - 274.10 Lacs                                                                                                                         2. Investment in subsidiary- 455 Lacs                                                                                                                                           3. General Corporate  Expenses-192.82 Lacs                                                                                                                      4. To meet issue expenses 80.08 Lacs                                                                  </t>
  </si>
  <si>
    <t>Rs.50/-</t>
  </si>
  <si>
    <t>At close of listing day (August 03, 2017)</t>
  </si>
  <si>
    <r>
      <t xml:space="preserve">Issuer: </t>
    </r>
    <r>
      <rPr>
        <sz val="10"/>
        <rFont val="Times New Roman"/>
        <family val="1"/>
      </rPr>
      <t>Shanti Overseas( India )Limited</t>
    </r>
    <r>
      <rPr>
        <b/>
        <sz val="10"/>
        <rFont val="Times New Roman"/>
        <family val="1"/>
      </rPr>
      <t xml:space="preserve"> **</t>
    </r>
  </si>
  <si>
    <t>Kriti Nutrients Limited</t>
  </si>
  <si>
    <t>Gokul Agro Resources Limited</t>
  </si>
  <si>
    <t>**Source:  Prospectus dated July 13, 2017 - based on restated summary statement for period ended on March 31, 2017</t>
  </si>
  <si>
    <t>Note: Since the company's share were listed onAugust 03 2017 , we are considering March 31, 2018 as the 1st Financial Year.</t>
  </si>
  <si>
    <t>Surevin BPO Services Limited</t>
  </si>
  <si>
    <t>Rs. 364.80 lakhs</t>
  </si>
  <si>
    <t>53.28 Times</t>
  </si>
  <si>
    <t xml:space="preserve">1. To meet working capital - 253.84 Lacs                                    2.Public Issue expenses - 52.59 Lacs                                                                                    3. General Corporate  Expenses-58.37 Lacs                                                                                     </t>
  </si>
  <si>
    <t>At close of listing day (August 09, 2017)</t>
  </si>
  <si>
    <r>
      <t xml:space="preserve">Issuer: </t>
    </r>
    <r>
      <rPr>
        <sz val="10"/>
        <rFont val="Times New Roman"/>
        <family val="1"/>
      </rPr>
      <t>Surevin BPO Services Limited</t>
    </r>
    <r>
      <rPr>
        <b/>
        <sz val="10"/>
        <rFont val="Times New Roman"/>
        <family val="1"/>
      </rPr>
      <t>**</t>
    </r>
  </si>
  <si>
    <t xml:space="preserve">Allsec Technologies Ltd. </t>
  </si>
  <si>
    <t xml:space="preserve">Eclerx Services Ltd. </t>
  </si>
  <si>
    <t>**Source:  Prospectus dated August 02, 2017 - based on restated summary statement for period ended on March 31, 2017</t>
  </si>
  <si>
    <t>Note: Since the company's share were listed onAugust 09 ,2017 , we are considering March 31, 2018 as the 1st Financial Year.</t>
  </si>
  <si>
    <t>Pashupati Cotspin Limited</t>
  </si>
  <si>
    <t>Rs. 2088 lakhs</t>
  </si>
  <si>
    <t>1.673 Times</t>
  </si>
  <si>
    <t>(ii) at the end of the 1st Quarter immediately after the listing of the issue (Dec 31, 2017)</t>
  </si>
  <si>
    <t>Net Loss for the period</t>
  </si>
  <si>
    <t xml:space="preserve">1. To meet working capital - 1650 Lacs                                    2.Public Issue expenses - 25.50 Lacs                                                                                    3. General Corporate  Expenses-412.50 Lacs                                                                                     </t>
  </si>
  <si>
    <t># Since the company's share were listed on September 08, 2017 hence the same will be soon updated</t>
  </si>
  <si>
    <t xml:space="preserve">1. To meet working capital - 1650 Lacs                                                                                                                       2.Public Issue expenses - 25.50 Lacs                                                                                                                                      3. General Corporate  Expenses-412.50 Lacs                                                                                     </t>
  </si>
  <si>
    <t># Since the company's share were listed on September 08 2017 hence the same will be soon updated</t>
  </si>
  <si>
    <t>Rs.75/-</t>
  </si>
  <si>
    <t>At close of listing day (September 08, 2017)</t>
  </si>
  <si>
    <r>
      <t xml:space="preserve">Issuer: </t>
    </r>
    <r>
      <rPr>
        <sz val="10"/>
        <rFont val="Times New Roman"/>
        <family val="1"/>
      </rPr>
      <t>Pashupati Cotspin Limited</t>
    </r>
    <r>
      <rPr>
        <b/>
        <sz val="10"/>
        <rFont val="Times New Roman"/>
        <family val="1"/>
      </rPr>
      <t>**</t>
    </r>
  </si>
  <si>
    <t xml:space="preserve">Bannari Amman Spinning Mills Ltd. </t>
  </si>
  <si>
    <t xml:space="preserve">Ginni Filaments Ltd. </t>
  </si>
  <si>
    <t xml:space="preserve">Nagreeka Exports Ltd. </t>
  </si>
  <si>
    <t xml:space="preserve">PBM Polytex Ltd. </t>
  </si>
  <si>
    <t xml:space="preserve">Pioneer Embroideries Ltd. </t>
  </si>
  <si>
    <t>Suryalata Spinning Mills Ltd.</t>
  </si>
  <si>
    <t>**Source:  Prospectus dated August 21,2017 - based on restated summary statement for period ended on March 31, 2017</t>
  </si>
  <si>
    <t>Share India Securities Limited</t>
  </si>
  <si>
    <t>Rs 2637.12 lakhs (Offer for sale- 205 lakhs)</t>
  </si>
  <si>
    <t>3.66 Times</t>
  </si>
  <si>
    <t>(ii) at the end of the 1st Quarter immediately after the listing of the issue (December 31, 2017)</t>
  </si>
  <si>
    <t xml:space="preserve">1. Working Capital requirement- 1521.01 Lacs                                    2. Capital Expenditure: 127 Lacs                                                                                    3. Sales and Marketing Expenses-150 Lacs                                  4. Public Issue expenses- 154.11 Lacs                                             5.   General Corporate Purpose:   480 Lacs                                                         </t>
  </si>
  <si>
    <t>Rs.41/-</t>
  </si>
  <si>
    <t>At close of listing day October 05 ,2017)</t>
  </si>
  <si>
    <r>
      <t>Issuer: Share India Securities</t>
    </r>
    <r>
      <rPr>
        <sz val="10"/>
        <rFont val="Times New Roman"/>
        <family val="1"/>
      </rPr>
      <t>Limited</t>
    </r>
    <r>
      <rPr>
        <b/>
        <sz val="10"/>
        <rFont val="Times New Roman"/>
        <family val="1"/>
      </rPr>
      <t xml:space="preserve"> **</t>
    </r>
  </si>
  <si>
    <t xml:space="preserve">4.343
</t>
  </si>
  <si>
    <t xml:space="preserve">Aditya Birla Money Ltd. </t>
  </si>
  <si>
    <t>Emkay Global Financial Services Ltd.</t>
  </si>
  <si>
    <t xml:space="preserve">Edelweiss Financial Services Ltd. </t>
  </si>
  <si>
    <t xml:space="preserve">7.26  
</t>
  </si>
  <si>
    <t>Motilal Oswal Financial Services Ltd</t>
  </si>
  <si>
    <t>**Source:  Prospectus dated September 14, 2017 - based on restated summary statement for period ended on March 31, 2017</t>
  </si>
  <si>
    <t>Note: Since the company's share were listed on October 05, 2017 , we are considering March 31, 2018 as the 1st Financial Year.</t>
  </si>
  <si>
    <t>RKEC Projects Limited</t>
  </si>
  <si>
    <t>Rs. 2870.10 lakhs (Offer for sale- 765 lakhs)</t>
  </si>
  <si>
    <t>17.99 times</t>
  </si>
  <si>
    <t xml:space="preserve">1. To meet working capital - 1500 Lacs                                    2.Public Issue expenses - 210.51 Lacs                                                                                    3. General Corporate  Expenses-394.59 Lacs                                                                                     </t>
  </si>
  <si>
    <t># Since the company's share were listed on October 09, 2017 hence the same will be soon updated</t>
  </si>
  <si>
    <t xml:space="preserve">1. To meet working capital - 1500 Lacs                                                                                                                              2.Public Issue expenses - 210.51 Lacs                                                                                                                                     3. General Corporate  Expenses-394.59 Lacs                                                                                     </t>
  </si>
  <si>
    <t>Rs.45/-</t>
  </si>
  <si>
    <t>At close of listing day (October 09, 2017)</t>
  </si>
  <si>
    <r>
      <t xml:space="preserve">Issuer: </t>
    </r>
    <r>
      <rPr>
        <sz val="10"/>
        <rFont val="Times New Roman"/>
        <family val="1"/>
      </rPr>
      <t>RKEC Projects Limited</t>
    </r>
    <r>
      <rPr>
        <b/>
        <sz val="10"/>
        <rFont val="Times New Roman"/>
        <family val="1"/>
      </rPr>
      <t>**</t>
    </r>
  </si>
  <si>
    <t>Nila Infrastructures Ltd.</t>
  </si>
  <si>
    <t>RPP Infra Projects Ltd.</t>
  </si>
  <si>
    <t>Simplex Projects Ltd.</t>
  </si>
  <si>
    <t>**Source:  Prospectus dated September 18,2017 - based on restated summary statement for period ended on March 31, 2017</t>
  </si>
  <si>
    <t>Note: Since the company's share were listed on October 09 ,2017 , we are considering March 31, 2018 as the 1st Financial Year.</t>
  </si>
  <si>
    <t>DP Abhushan Limited</t>
  </si>
  <si>
    <t>Rs 1660.96  lakhs</t>
  </si>
  <si>
    <t>39.54 Times</t>
  </si>
  <si>
    <t xml:space="preserve">1. Working Capital requirement- 1450 Lacs                                    2. General Corporate Purposes- 131.48 Lacs                                                                                    3. Issue Expenses-79.12 Lacs                                                                   </t>
  </si>
  <si>
    <t xml:space="preserve">1. Working Capital requirement- 1450 Lacs                                                                                                                                2. General Corporate Purposes- 131.48 Lacs                                                                                                                          3. Issue Expenses-79.12 Lacs                                                                   </t>
  </si>
  <si>
    <t>Rs.28/-</t>
  </si>
  <si>
    <t>At close of listing day (October 23, 2017)</t>
  </si>
  <si>
    <r>
      <t xml:space="preserve">Issuer: </t>
    </r>
    <r>
      <rPr>
        <sz val="10"/>
        <rFont val="Times New Roman"/>
        <family val="1"/>
      </rPr>
      <t>D. P. Abhushan Limited</t>
    </r>
    <r>
      <rPr>
        <b/>
        <sz val="10"/>
        <rFont val="Times New Roman"/>
        <family val="1"/>
      </rPr>
      <t>**</t>
    </r>
  </si>
  <si>
    <t>Thangamayil Jewellery Ltd</t>
  </si>
  <si>
    <t xml:space="preserve">13.90  
</t>
  </si>
  <si>
    <t>Tribhovandas Bhimji Zaveri Ltd</t>
  </si>
  <si>
    <t>PC Jeweller Ltd</t>
  </si>
  <si>
    <t>**Source:  Prospectus dated September 26, 2017 - based on restated summary statement for period ended on March 31,2017</t>
  </si>
  <si>
    <t>Note: Since the company's share were listed onOctober 23, 2017 , we are considering March 31, 2018 as the 1st Financial Year.</t>
  </si>
  <si>
    <t>ANI Integrated Services Limited</t>
  </si>
  <si>
    <t>Rs 2565.60 lakhs (Offer for sale- 878.40 lakhs)</t>
  </si>
  <si>
    <t>199.12 Times</t>
  </si>
  <si>
    <t xml:space="preserve">1. Repayment of Bank Borrowings- 500Lacs                                    2.To meet working capital requirement - 634.894
Lacs                                                                                    3.General Corporate Expenses -404.93 Lacs                     4. To meet the Issue Expenses - 147.376 Lacs                                                            </t>
  </si>
  <si>
    <t xml:space="preserve">1. Repayment of Bank Borrowings- 500Lacs                                                                                                                2.To meet working capital requirement - 634.894Lacs                                                                              
      3.General Corporate Expenses -404.93 Lacs   
                  4. To meet the Issue Expenses - 147.376 Lacs                                                            </t>
  </si>
  <si>
    <t>Rs.100/-</t>
  </si>
  <si>
    <t>At close of listing day (November 20, 2017)</t>
  </si>
  <si>
    <r>
      <t xml:space="preserve">Issuer: </t>
    </r>
    <r>
      <rPr>
        <sz val="10"/>
        <rFont val="Times New Roman"/>
        <family val="1"/>
      </rPr>
      <t>ANI Integaretd Services Limited</t>
    </r>
    <r>
      <rPr>
        <b/>
        <sz val="10"/>
        <rFont val="Times New Roman"/>
        <family val="1"/>
      </rPr>
      <t xml:space="preserve"> **</t>
    </r>
  </si>
  <si>
    <t>Quess Corp Ltd.</t>
  </si>
  <si>
    <t xml:space="preserve">33.13  
</t>
  </si>
  <si>
    <t>TeamLease Services Ltd.</t>
  </si>
  <si>
    <t>**Source:  Prospectus dated October 31, 2017 - based on restated summary statement for period ended on June 30, 2017</t>
  </si>
  <si>
    <t>Note: Since the company's share were listed on November 20, 2017 , we are considering March 31, 2018 as the 1st Financial Year.</t>
  </si>
  <si>
    <t>Dynamic Cables Limited</t>
  </si>
  <si>
    <t>Initial Public Offering (IPO) on SME Platform on BSE Limited</t>
  </si>
  <si>
    <t>Rs 2337.60 lakhs</t>
  </si>
  <si>
    <t>69.46 Times</t>
  </si>
  <si>
    <t>*Will be upadted once the company makes necessary disclosures on the website of BSE Ltd.</t>
  </si>
  <si>
    <t>NIL</t>
  </si>
  <si>
    <t xml:space="preserve">1. To meet Working Capital requirements -2138.54 Lacs.                                                                                            2. To meet General Corporate Expenses -125 Lacs.                         3. To meet Issue Expenses -74.06 Lacs                                                </t>
  </si>
  <si>
    <t># Since the company's share were listed on December 14, 2017 hence the same will be soon updated</t>
  </si>
  <si>
    <t xml:space="preserve">1. To meet Working Capital requirements -2138.54 Lacs.                                                                                            2. To meet General Corporate Expenses -125 Lacs.                                                                                                         3. To meet Issue Expenses -74.06 Lacs                                                </t>
  </si>
  <si>
    <t># Since the company's share were listed on December 14, 2017 ,hence the same will be soon updated</t>
  </si>
  <si>
    <t>Rs. 40/-</t>
  </si>
  <si>
    <t>At close of listing day (December 14, 2017)</t>
  </si>
  <si>
    <r>
      <t xml:space="preserve">Issuer: </t>
    </r>
    <r>
      <rPr>
        <sz val="10"/>
        <rFont val="Times New Roman"/>
        <family val="1"/>
      </rPr>
      <t>Dynamic Cables Limited</t>
    </r>
    <r>
      <rPr>
        <b/>
        <sz val="10"/>
        <rFont val="Times New Roman"/>
        <family val="1"/>
      </rPr>
      <t xml:space="preserve"> **</t>
    </r>
  </si>
  <si>
    <t xml:space="preserve">Cords Cable Industries Ltd </t>
  </si>
  <si>
    <t xml:space="preserve">KEI Industries Ltd. </t>
  </si>
  <si>
    <t xml:space="preserve">Universal Cables Ltd. </t>
  </si>
  <si>
    <t xml:space="preserve">Havells India Ltd. </t>
  </si>
  <si>
    <t>**Source:  Prospectus dated  November 24, 2017 - based on restated summary statement for period ended on June 30, 2017</t>
  </si>
  <si>
    <t>Note: Since the company's share were listed on December 14, 2017 , we are considering March 31, 2018 as the 1st Financial Year.</t>
  </si>
  <si>
    <t>Vasa Retail and Overseas Limited</t>
  </si>
  <si>
    <t>Rs 480 lakhs</t>
  </si>
  <si>
    <t>202.64Times</t>
  </si>
  <si>
    <t>(ii) at the end of the 1st Quarter immediately after the listing of the issue (March 31, 2018)</t>
  </si>
  <si>
    <t>1. To Meet Working Capital Requirement- 400 Lacs. 2. Public Issue Expenses-60.25 Lacs                              3.General Corporate Expenses-19.75 Lacs</t>
  </si>
  <si>
    <t># Since the company's share were listed on February 06, 2018 hence the same will be soon updated</t>
  </si>
  <si>
    <t>1. To Meet Working Capital Requirement- 400 Lacs.                                                                                                      2. Public Issue Expenses-60.25 Lacs                                                                                                                         3.General Corporate Expenses-19.75 Lacs</t>
  </si>
  <si>
    <t>At close of listing day (February 06, 2018)</t>
  </si>
  <si>
    <r>
      <t xml:space="preserve">Issuer: </t>
    </r>
    <r>
      <rPr>
        <sz val="10"/>
        <rFont val="Times New Roman"/>
        <family val="1"/>
      </rPr>
      <t>Vasa Retail and Overseas Limited</t>
    </r>
    <r>
      <rPr>
        <b/>
        <sz val="10"/>
        <rFont val="Times New Roman"/>
        <family val="1"/>
      </rPr>
      <t>**</t>
    </r>
  </si>
  <si>
    <t>Kokuyo Camlin Limited</t>
  </si>
  <si>
    <t>Linc Pen &amp; Plastics Limited</t>
  </si>
  <si>
    <t>**Source:  Prospectus dated January 17, 2018 based on restated summary statement for period ended on October 20 ,2017</t>
  </si>
  <si>
    <t>Note: Since the company's share were listed on February 06, 2018 we are considering March 31, 2018 as the 1st Financial Year.</t>
  </si>
  <si>
    <t>Hindcon Chemicals Limited</t>
  </si>
  <si>
    <t>Rs 772.80  lakhs</t>
  </si>
  <si>
    <t>131.63Times</t>
  </si>
  <si>
    <t>1. To Meet Working Capital Requirement- 538.16 Lacs. 2. Public Issue Expenses-74.64 Lacs                              3.General Corporate Expenses-160Lacs</t>
  </si>
  <si>
    <t>At close of listing day (March 09, 2018)</t>
  </si>
  <si>
    <t>At the end of 1st FY  (2017-18)</t>
  </si>
  <si>
    <r>
      <t xml:space="preserve">Issuer: </t>
    </r>
    <r>
      <rPr>
        <sz val="10"/>
        <rFont val="Times New Roman"/>
        <family val="1"/>
      </rPr>
      <t>Hindcon Chemicals Limited</t>
    </r>
    <r>
      <rPr>
        <b/>
        <sz val="10"/>
        <rFont val="Times New Roman"/>
        <family val="1"/>
      </rPr>
      <t>**</t>
    </r>
  </si>
  <si>
    <t>Pidilite Industries Limited</t>
  </si>
  <si>
    <t>Gillanders Arbuthnot &amp; Company Limited</t>
  </si>
  <si>
    <t>BASF India Limited</t>
  </si>
  <si>
    <t>**Source:  Prospectus dated February 14, 2018 based on restated summary statement for period ended on September 30 ,2017</t>
  </si>
  <si>
    <t>Note: Since the company's share were listed on March 09, 2018 we are considering March 31, 2018 as the 1st Financial Year.</t>
  </si>
  <si>
    <t>Tara chand Logistic Solutions Limited</t>
  </si>
  <si>
    <t>Rs. 2046 lakhs</t>
  </si>
  <si>
    <t>2.50 Times</t>
  </si>
  <si>
    <t xml:space="preserve">*NSE </t>
  </si>
  <si>
    <t>1. Repayment of Certain Secured Borrowings availed by our Company - 510.45 Lacs.                                                             2. Purchase of Capital Equipment -200 Lacs                              3.General Corporate Expenses-410 Lacs.                                      4. To meet working capital requirement-806.21 Lacs. 5. Issue Expenses -119.34 Lacs</t>
  </si>
  <si>
    <t>Rs. 55/-</t>
  </si>
  <si>
    <t>At close of listing day (March 23, 2018)</t>
  </si>
  <si>
    <t>As at the end of 1st FY after the listing of the issue (2017-18)</t>
  </si>
  <si>
    <t>At the end of 1st FY (2017-18)</t>
  </si>
  <si>
    <r>
      <t xml:space="preserve">Issuer: </t>
    </r>
    <r>
      <rPr>
        <sz val="10"/>
        <rFont val="Times New Roman"/>
        <family val="1"/>
      </rPr>
      <t>Tara Chand Logistic Solutions Limited</t>
    </r>
    <r>
      <rPr>
        <b/>
        <sz val="10"/>
        <rFont val="Times New Roman"/>
        <family val="1"/>
      </rPr>
      <t>**</t>
    </r>
  </si>
  <si>
    <t>Lancer Container Lines Ltd</t>
  </si>
  <si>
    <t>Tiger Logistics</t>
  </si>
  <si>
    <t>**Source:  Prospectus dated March 01, 2018 based on restated summary statement for period ended on December 31, 2017.</t>
  </si>
  <si>
    <t>Note: Since the company's share were listed on March 23, 2018 we are considering March 31, 2018 as the 1st Financial Year.</t>
  </si>
  <si>
    <t>Dhruv Consultancy Services Limited</t>
  </si>
  <si>
    <t>Rs. 2319.84 lakhs</t>
  </si>
  <si>
    <t>2.54 Times</t>
  </si>
  <si>
    <t>(ii) at the end of the 1st Quarter immediately after the listing of the issue (June 30, 2018)</t>
  </si>
  <si>
    <t>(iii) at the end of 1st FY</t>
  </si>
  <si>
    <t xml:space="preserve">1.Repayment/ prepayment of certain indebtedness - 499.51 Lacs.                                                                                      2. To Meet Working Capital requirements  -1140Lacs                              3.General Corporate Expenses -481.14 Lacs.                                      4. Issue Expenses -199.19Lacs. </t>
  </si>
  <si>
    <t># Since the company's share were listed on May 10, 2018 hence the same will be soon updated</t>
  </si>
  <si>
    <t xml:space="preserve">1.Repayment/ prepayment of certain indebtedness - 499.51 Lacs.                                                                                      2. To Meet Working Capital requirements  -1140Lacs                                                                                                   3.General Corporate Expenses -481.14 Lacs.                                                                                                                               4. Issue Expenses -199.19Lacs. </t>
  </si>
  <si>
    <t># Since the company's share were listed on May 10, 2018 ,hence the same will be soon updated</t>
  </si>
  <si>
    <t>Rs. 54/-</t>
  </si>
  <si>
    <t>At close of listing day (May 10, 2018)</t>
  </si>
  <si>
    <r>
      <t xml:space="preserve">Issuer: </t>
    </r>
    <r>
      <rPr>
        <sz val="10"/>
        <rFont val="Times New Roman"/>
        <family val="1"/>
      </rPr>
      <t>Dhruv Consultancy ServicesLimited</t>
    </r>
    <r>
      <rPr>
        <b/>
        <sz val="10"/>
        <rFont val="Times New Roman"/>
        <family val="1"/>
      </rPr>
      <t>**</t>
    </r>
  </si>
  <si>
    <t>Artefact Projects ltd.</t>
  </si>
  <si>
    <t>MITCON Consultancy &amp; Engineering Services Limited</t>
  </si>
  <si>
    <t>**Source:  Prospectus dated April 20, 2018 based on restated summary statement for period ended on December 31, 2017</t>
  </si>
  <si>
    <t>Note: Since the company's share were listed on May 10, 2018 we are considering March 31, 2019 as the 1st Financial Year.</t>
  </si>
  <si>
    <t>Sonam Clock Limited</t>
  </si>
  <si>
    <t>Rs.1010.88 lakhs</t>
  </si>
  <si>
    <t>2.28 Times</t>
  </si>
  <si>
    <t xml:space="preserve">1.Funding the Working Capital Requirements of the Company - 510 Lacs.                                                                                      2. Repayment of Unsecured Loan availed by our Company -200 Lacs                                                               3.To meet General Corporate Expense -232.55Lacs.                                      4. Issue Expenses -68.33 Lacs. </t>
  </si>
  <si>
    <t># Since the company's share were listed on June 14, 2018 hence the same will be soon updated</t>
  </si>
  <si>
    <t xml:space="preserve">1.Funding the Working Capital Requirements of the Company - 510 Lacs.                                                                                      2. Repayment of Unsecured Loan availed by our Company -200 Lacs                                                               3.To meet General Corporate Expense -232.55Lacs.                                                                                                             4. Issue Expenses -68.33 Lacs. </t>
  </si>
  <si>
    <t># Since the company's share were listed on June 14, 2018 ,hence the same will be soon updated</t>
  </si>
  <si>
    <t>Rs. 36/-</t>
  </si>
  <si>
    <t>At close of listing day (June 14, 2018)</t>
  </si>
  <si>
    <t>As at the end of 1st FY after the listing of the issue</t>
  </si>
  <si>
    <t>Index (of the Designated Stock Exchange): CNX/ NIFTY 50</t>
  </si>
  <si>
    <r>
      <t xml:space="preserve">Issuer: </t>
    </r>
    <r>
      <rPr>
        <sz val="10"/>
        <rFont val="Times New Roman"/>
        <family val="1"/>
      </rPr>
      <t>Sonam Clock Limited</t>
    </r>
    <r>
      <rPr>
        <b/>
        <sz val="10"/>
        <rFont val="Times New Roman"/>
        <family val="1"/>
      </rPr>
      <t>**</t>
    </r>
  </si>
  <si>
    <t>Opal Luxury Time Products Limited</t>
  </si>
  <si>
    <t>**Source:  Prospectus dated May 25, 2018 based on restated summary statement for period ended on March 31, 2018</t>
  </si>
  <si>
    <t>Note: Since the company's share were listed on June 14, 2018 we are considering March 31, 2019 as the 1st Financial Year.</t>
  </si>
  <si>
    <t xml:space="preserve">PARIN FURNITURE LIMITED </t>
  </si>
  <si>
    <t>Rs. 18.90 Crores</t>
  </si>
  <si>
    <t>2.062 Times</t>
  </si>
  <si>
    <t>(ii) at the end of the 1st Quarter immediately after the listing of the issue (December 31, 2018)</t>
  </si>
  <si>
    <t xml:space="preserve">1. Repayment of Certain Secured Borrowing availed by  company
2. Funding the Working Capital Requirements of the Company
3.General Corporate Expense 
4. Issue Expenses
</t>
  </si>
  <si>
    <t>1. Repayment of Certain Secured Borrowing availed by  company - Rs. 900 lakhs
2. Funding the Working Capital Requirements of the Company - Rs. 620 lakhs
3.General Corporate Expense - Rs. 310 lakhs
4. Issue Expenses- Rs. 60 lakhs</t>
  </si>
  <si>
    <t># Since the company's share were listed on October 09, 2018 hence the same will be soon updated</t>
  </si>
  <si>
    <t># Since the company's share were listed on  October 09, 2018 ,hence the same will be soon updated</t>
  </si>
  <si>
    <t>Rs. 63/-</t>
  </si>
  <si>
    <t>At close of listing day (October 09, 2018)</t>
  </si>
  <si>
    <r>
      <t xml:space="preserve">Issuer: </t>
    </r>
    <r>
      <rPr>
        <sz val="10"/>
        <rFont val="Times New Roman"/>
        <family val="1"/>
      </rPr>
      <t>Parin Furniture Limited</t>
    </r>
  </si>
  <si>
    <t>Nilkamal Limited</t>
  </si>
  <si>
    <t>**Source:  Prospectus dated October 01 2018 based on restated summary statement for period ended on March 31, 2018</t>
  </si>
  <si>
    <t>Note: Since the company's share were listed onOctober 09, 2018 we are considering March 31, 2019 as the 1st Financial Year.</t>
  </si>
  <si>
    <t>Kritika Wires Limited</t>
  </si>
  <si>
    <t>Rs.1539. 84 lakhs</t>
  </si>
  <si>
    <t>1.6293 Times</t>
  </si>
  <si>
    <t xml:space="preserve">1. To meet the Working Capital Requirements of the Company - Rs. 1238.64 lakhs                                                                                                                                         2.To meet General Corporate Expense -Rs. 200 lakhs                                      3. Issue Expenses -Rs. 101.20 lakhs. </t>
  </si>
  <si>
    <t># Since the company's share were listed on October 10, 2018 hence the same will be soon updated</t>
  </si>
  <si>
    <t xml:space="preserve">1. To meet the Working Capital Requirements of the Company - Rs. 1238.64 lakhs                                                                                                                                         2.To meet General Corporate Expense -Rs. 200 lakhs  
     3. Issue Expenses -Rs. 101.20 lakhs. </t>
  </si>
  <si>
    <t># Since the company's share were listed on October 10, 2018 ,hence the same will be soon updated</t>
  </si>
  <si>
    <t>Rs. 32/-</t>
  </si>
  <si>
    <t>At close of listing day (October 10, 2018)</t>
  </si>
  <si>
    <r>
      <t xml:space="preserve">Issuer: </t>
    </r>
    <r>
      <rPr>
        <sz val="10"/>
        <rFont val="Times New Roman"/>
        <family val="1"/>
      </rPr>
      <t>Kritika Wires Limited</t>
    </r>
    <r>
      <rPr>
        <b/>
        <sz val="10"/>
        <rFont val="Times New Roman"/>
        <family val="1"/>
      </rPr>
      <t>**</t>
    </r>
  </si>
  <si>
    <t>Ram Ratna Wires Limited</t>
  </si>
  <si>
    <t>Geekay Wires Limited</t>
  </si>
  <si>
    <t>**Source:  Prospectus dated September 18, 2018 based on restated summary statement for period ended on March 31, 2018</t>
  </si>
  <si>
    <t>Note: Since the company's share were listed onOctober 10, 2018 we are considering March 31, 2019 as the 1st Financial Year.</t>
  </si>
  <si>
    <t>1. Repayment of Certain Secured Borrowings availed by our Company - 350.45 Lacs.                                                             2. Purchase of Capital Equipment -200 Lacs                              3.General Corporate Expenses-410 Lacs.                                      4. To meet working capital requirement-806.21 Lacs. 5. Issue Expenses -119.34 Lacs</t>
  </si>
  <si>
    <t># based on Deployement certificate as received form Companyupdated as on September 30,2018</t>
  </si>
  <si>
    <t>1. Repayment of Certain Secured Borrowings availed by our Company - 510.45 Lacs.                                                                                                           2. Purchase of Capital Equipment -200 Lacs                                                                                                                                                                         3.General Corporate Expenses-410 Lacs.                                                                                                                                                                                                4. To meet working capital requirement-806.21 Lacs.                                                                                                                                                                      5. Issue Expenses -119.34 Lacs</t>
  </si>
  <si>
    <t>1. Repayment of Certain Secured Borrowings availed by our Company - 350.45 Lacs.                                                                                                           2. Purchase of Capital Equipment -200 Lacs                                                                                                                                                                         3.General Corporate Expenses-410 Lacs.                                                                                                                                                                                                4. To meet working capital requirement-806.21 Lacs.                                                                                                                                                                      5. Issue Expenses -119.34 Lacs</t>
  </si>
  <si>
    <t>#  based on Deployement certificate as received form Companyupdated as on September 30,2018</t>
  </si>
  <si>
    <t>1. To Meet Working Capital Requirement- 538.16 Lacs.      2. Public Issue Expenses-74.64 Lacs                              3.General Corporate Expenses-160Lacs</t>
  </si>
  <si>
    <t>1. To Meet Working Capital Requirement- 538.16 Lacs.                                                                                                                               2. Public Issue Expenses-74.64 Lacs                                                                                                                                                    3.General Corporate Expenses-160Lacs</t>
  </si>
  <si>
    <t># based on Deployement certificate as received from Company updated as on December 31,2018</t>
  </si>
  <si>
    <t xml:space="preserve">1. Repayment of Bank Borrowings- 500Lacs                                                  2.To meet working capital requirement - 634.894
Lacs                                                                                    3.General Corporate Expenses -84.93 Lacs                                              4. To meet the Issue Expenses - 147.376 Lacs                                                            </t>
  </si>
  <si>
    <t xml:space="preserve">1. Repayment of Bank Borrowings- 500Lacs                                                                                                                2.To meet working capital requirement - 634.894Lacs                                                                              
      3.General Corporate Expenses -84.93 Lacs   
                  4. To meet the Issue Expenses - 147.376 Lacs   </t>
  </si>
  <si>
    <t># based on Deployement certificate as received from Company updated as on December 27,2018</t>
  </si>
  <si>
    <t xml:space="preserve">1. Working Capital requirement- 1450 Lacs                                    2. General Corporate Purposes- 119.54 Lacs                                                                                    3. Issue Expenses-91.42 Lacs        </t>
  </si>
  <si>
    <t xml:space="preserve">1. Working Capital requirement- 1450 Lacs                                                                                                                         2. General Corporate Purposes- 119.54 Lacs                                                                                                                                       3. Issue Expenses-91.42 Lacs      </t>
  </si>
  <si>
    <t># based on Deployement certificate as received from Company updated as on March 09,2018</t>
  </si>
  <si>
    <t xml:space="preserve">1. Working Capital requirement- 1521.01 Lacs                                        2. Capital Expenditure: Nil                                                                                    3. Sales and Marketing Expenses-Nil                                                        4. Public Issue expenses- 154.11 Lacs                                                               5.   General Corporate Purpose:   480 Lacs                                                         </t>
  </si>
  <si>
    <t>The Amount Pending
Utilisation For Capital
Expenditure Incurred
For Branch Expansion
And to Meet Sales And
Marketing Expenditure
is kept in Fixed Deposits
with the Bank</t>
  </si>
  <si>
    <t># based on Deployement certificate as received from Company updated as on January 11, 2019</t>
  </si>
  <si>
    <t>Note:Amount of Rs. 235.95/- Lakhs has been invested as Fixed deposit for the prupose of meeting working capital requirement</t>
  </si>
  <si>
    <t xml:space="preserve">1. To meet working capital - 80 Lacs                                    2.Public Issue expenses - 48.84 Lacs                                                                                    3. General Corporate  Expenses-Nil </t>
  </si>
  <si>
    <t xml:space="preserve">1. To meet working capital - 253.84 Lacs                                                                                                                          2.Public Issue expenses - 52.59 Lacs                                                                                                                                                  3. General Corporate  Expenses-58.37 Lacs                                                                                     </t>
  </si>
  <si>
    <t># based on Deployement certificate as received from Company updated as on September 30, 2018</t>
  </si>
  <si>
    <t xml:space="preserve">  </t>
  </si>
  <si>
    <t xml:space="preserve">                                                                                        </t>
  </si>
  <si>
    <t xml:space="preserve">                                                                                                                                                                                                                            </t>
  </si>
  <si>
    <t xml:space="preserve">           </t>
  </si>
  <si>
    <t xml:space="preserve">1. Working Capital requirement-324.04 Lacs                                                                                              2. Issue Expenses- 35 Lacs                                                          3.General corporate Purposes- 63.36 Lacs     </t>
  </si>
  <si>
    <t xml:space="preserve">1. Working Capital requirement-324.04 Lacs
2.  Issue Expenses- 35 Lacs      
3. General corporate Purposes- 63.36 Lacs   </t>
  </si>
  <si>
    <t xml:space="preserve">1. Working Capital requirement- 435.14 Lacs                                     2. General Corporate Purposes- 37.16 Lacs                                                                                     3. Issue Expenses- 28.70 Lacs     </t>
  </si>
  <si>
    <t>IPO expense to the extent of Rs. 11.30 lacs has been incurred out of internal accrual and temproary working capital surplus prior to the realisation of IPO proceeds and hence not covered under the actual deployment figure.</t>
  </si>
  <si>
    <t>1.  Working Capital requirement- 435.14 Lacs   
2.General Corporate Purposes- 37.16 Lacs
3. Issue Expenses- 28.70 Lacs</t>
  </si>
  <si>
    <t>Change, if any, in directors of issuer from the disclosures in the offer document (See Regulation 68 and Schedule III of the SEBI (Listing Obligations &amp; Disclosure Requirements) , 2015</t>
  </si>
  <si>
    <t xml:space="preserve"> </t>
  </si>
  <si>
    <t xml:space="preserve">1. Working Capital requirement- 236.02 Lacs                                     2. General Corporate Purposes- 30.00 Lacs                                                                                     3. Issue Expenses- 23.36 Lacs                                                                   </t>
  </si>
  <si>
    <t xml:space="preserve">1. Working Capital requirement- 236.02 Lacs
2. General Corporate Purposes- 30.00 Lacs  
3. Issue Expenses- 23.36 Lacs      </t>
  </si>
  <si>
    <t>Mindpool Technologies Limited</t>
  </si>
  <si>
    <t>Initial Public Offering (IPO) on SME Platform of NSE limited</t>
  </si>
  <si>
    <t>Rs. 360 lakhs</t>
  </si>
  <si>
    <t xml:space="preserve">1. To meet the Working Capital Requirements of the Company - Rs. 190 lakhs   
2. Repayment of a portion of Bank Borrowings - Rs. 44 lakhs                                                                                                                                      3. General Corporate Expense -Rs. 33.40 lakhs  
     4. Issue Expenses -Rs.92.60 lakhs. </t>
  </si>
  <si>
    <t>VR Films and Studios Limited</t>
  </si>
  <si>
    <t>Rs. 226.92 lakhs</t>
  </si>
  <si>
    <t>Initial Public Offering (IPO) on SME Platform of BSE limited</t>
  </si>
  <si>
    <t xml:space="preserve">1. To meet the Working Capital Requirements - Rs. 136.62 lakhs                                                                                                                                         2. To meet General Corporate Expense -Rs.50.14 lakhs                                      3. Issue Expenses -Rs.40.16 lakhs. </t>
  </si>
  <si>
    <t xml:space="preserve">1. To meet the Working Capital Requirements of the Company - Rs. 136.62 lakhs
2. To meet General Corporate Expense -Rs.50.14 lakhs 
3. Issue Expenses -Rs.40.16 lakhs.
</t>
  </si>
  <si>
    <t>Evans Electric Limited</t>
  </si>
  <si>
    <t>Rs. 193.44 lakhs</t>
  </si>
  <si>
    <t>1.35 Times</t>
  </si>
  <si>
    <t>(ii) at the end of the 1st Quarter immediately after the listing of the issue (June 30, 2019)</t>
  </si>
  <si>
    <t xml:space="preserve">1. To meet the Working Capital Requirements of the Company - Rs. 111.00 lakhs                                                                                                                                         2.To meet General Corporate Expense -Rs. 37 lakhs                                      3. Issue Expenses -Rs. 45.44 lakhs. </t>
  </si>
  <si>
    <t># Since the company's share were listed on May 13, 2019 hence the same will be soon updated</t>
  </si>
  <si>
    <t>At close of listing day (May 13, 2019)</t>
  </si>
  <si>
    <t>*Will be updated once the company makes necessary disclosures on the website of BSE Ltd.</t>
  </si>
  <si>
    <t>Rs. 52</t>
  </si>
  <si>
    <t>**Source:  Prospectus dated April 22, 2019 based on restated summary statement for period ended on October 31, 2018</t>
  </si>
  <si>
    <r>
      <t xml:space="preserve">Issuer: </t>
    </r>
    <r>
      <rPr>
        <sz val="10"/>
        <rFont val="Times New Roman"/>
        <family val="1"/>
      </rPr>
      <t>Evans Electric Limited</t>
    </r>
    <r>
      <rPr>
        <b/>
        <sz val="10"/>
        <rFont val="Times New Roman"/>
        <family val="1"/>
      </rPr>
      <t>**</t>
    </r>
  </si>
  <si>
    <r>
      <t xml:space="preserve">Issuer: </t>
    </r>
    <r>
      <rPr>
        <sz val="10"/>
        <rFont val="Times New Roman"/>
        <family val="1"/>
      </rPr>
      <t>Evans Electric Limited**</t>
    </r>
  </si>
  <si>
    <t># Since the company's share were listed on April 30, 2019 hence the same will be soon updated</t>
  </si>
  <si>
    <t># Since the company's share were listed on April 30, 2019,hence the same will be soon updated</t>
  </si>
  <si>
    <t>At close of listing day (April 30, 2019)</t>
  </si>
  <si>
    <r>
      <t>Issuer:</t>
    </r>
    <r>
      <rPr>
        <sz val="10"/>
        <rFont val="Times New Roman"/>
        <family val="1"/>
      </rPr>
      <t xml:space="preserve">  VR Films and Studios Limited</t>
    </r>
    <r>
      <rPr>
        <b/>
        <sz val="10"/>
        <rFont val="Times New Roman"/>
        <family val="1"/>
      </rPr>
      <t>**</t>
    </r>
  </si>
  <si>
    <t>**Source:  Prospectus dated  April 03, 2019 based on restated summary statement for period ended on  October 31, 2018</t>
  </si>
  <si>
    <t>1.93 times</t>
  </si>
  <si>
    <t>(ii) at the end of the 1st Quarter immediately after the listing of the issue (March 31, 2019)</t>
  </si>
  <si>
    <t># Since the company's share were listed on February 28, 2019 ,hence the same will be soon updated</t>
  </si>
  <si>
    <t>At close of listing day (February 28, 2019)</t>
  </si>
  <si>
    <t>Note: Since the company's share were listed onFebruary 28, 2019 we are considering March 31, 2019 as the 1st Financial Year.</t>
  </si>
  <si>
    <t># Since the company's share were listed on February 28, 2019 hence the same will be soon updated</t>
  </si>
  <si>
    <t xml:space="preserve">1. To meet the Working Capital Requirements - Rs. 190 lakhs  
2. To Repay a portion of Bank Borrowings- Rs. 44 lakhs                                                                                                                                        3.To meet General Corporate Expense -Rs. 33.40 akhs                                      4. Issue Expenses - Rs. 92.60 lakhs. </t>
  </si>
  <si>
    <t>Rs. 30</t>
  </si>
  <si>
    <t>**Source:  Prospectus dated January 28, 2019 based on restated summary statement for period ended on September 30, 2018</t>
  </si>
  <si>
    <r>
      <t xml:space="preserve">Issuer: </t>
    </r>
    <r>
      <rPr>
        <sz val="10"/>
        <rFont val="Times New Roman"/>
        <family val="1"/>
      </rPr>
      <t>Mindpool Technologies Limited</t>
    </r>
    <r>
      <rPr>
        <b/>
        <sz val="10"/>
        <rFont val="Times New Roman"/>
        <family val="1"/>
      </rPr>
      <t>**</t>
    </r>
  </si>
  <si>
    <t>Rs. 61</t>
  </si>
  <si>
    <t>Note: Since the company's share were listed on April 30, 2019 we are considering March 31, 2020 as the 1st Financial Year.</t>
  </si>
  <si>
    <t>Note: Since the company's share were listed on May 13, 2019 we are considering March 31, 2020 as the 1st Financial Year.</t>
  </si>
  <si>
    <t>No Change</t>
  </si>
  <si>
    <t>1.  Mr. Piyushkumar Chandrakantibhai Thakkar was appointed w.e.f 30.09.2017
2.  Mr. Hemang Kirtikumar Shah was appointed from 13.01.2018
3. Mr. Viral Dipak Ranpura resigned w.e.f. 13.01.2018</t>
  </si>
  <si>
    <t>Source: NSE,Website of company</t>
  </si>
  <si>
    <t xml:space="preserve">Appointment of Mr Mahendra Kumar Ostwal as additional Non- Executive Director and  Mr Bheru Lal Ostwal as Additional Independent Director </t>
  </si>
  <si>
    <t>Appointment of Mr Karan Yadav as Executive Director of the company w.e.f. August 16, 2018</t>
  </si>
  <si>
    <t>Appointment of Mr Tanaji Yadav as Executive Director and Mr. Avinash Salunkhe as an Independent Director of the company w.e.f. November 13, 2017</t>
  </si>
  <si>
    <t>Financials of the issuer (as per the annual financial results submitted to stock exchange in Regulation 33 of the SEBI (Listing Obligations &amp; Disclosure Requirements) , 2015</t>
  </si>
  <si>
    <t>Appointment of Ms. Sashi Agarwal and Mr. Pratap Das  as an additional director w.e.f. 30.05.2019</t>
  </si>
  <si>
    <t>Appointmnet of Ms. Riya  Uttamprakash Agarwal as Additional Independent Director w.e.f. 29.05.2019</t>
  </si>
  <si>
    <t xml:space="preserve"> Appointment of Mr Suneel Sayarmal Mohnot as Non- Executive Independent Director of the company w.e.f. January 30, 2018
Resignation of Mr Akshay Goyal as Independent Director of the company w.e.f. January 15, 2018</t>
  </si>
  <si>
    <t>1. Appointment of Mr Pankaj Ostwal as Non- Executive Director of the company w.e.f. March 26, 2019.
2.  Appointment of Mr. Bheru Lal Ostwal as Independent Director w.e.f. March 26, 2019</t>
  </si>
  <si>
    <t>At the end of 2nd FY (2018-19)</t>
  </si>
  <si>
    <t>Appointment of Himashu Goyal as Additional Independent director w.e.f. 28.02.2018</t>
  </si>
  <si>
    <t>Appointmnet of Mr. Gururaj Karajagi as Independent Director w.e.f. August 17, 2017</t>
  </si>
  <si>
    <t>2nd FY</t>
  </si>
  <si>
    <t>Kallam Textiles Limited (Formerly Kallam Spinning Mills Limited)</t>
  </si>
  <si>
    <t xml:space="preserve">1. Working Capital requirement- 298.30Lacs
 2. General Corporate Purposes-15.50 Lacs
3. Issue Expenses-16.20 Lacs   
</t>
  </si>
  <si>
    <t>(Rs. In Lakhs)</t>
  </si>
  <si>
    <t>Sanwaria  Consumers Ltd(Formerly known as Sanwaria Agro Oils Limited)</t>
  </si>
  <si>
    <t xml:space="preserve">1. Working Capital requirement- 1521.01 Lacs                                                                                                     
          2. Capital Expenditure: 127 Lacs
3. Sales and Marketing Expenses-150 Lacs                                                                                                      
           4. Public Issue expenses- 154.11 Lacs
5.   General Corporate Purpose:   480 Lacs                                                         </t>
  </si>
  <si>
    <t>1. Appointment of Mr Sulabh Jain as Non- Executive Director of the company w.e.f  September 01, 2018
2.  Appointment of Mr. Jatinder Pal Singh as Independent Director w.e.f. September 01, 2018
3. Appointment of Ms. Upasana Gupta as Independent Director w.e.f. September 01, 2018</t>
  </si>
  <si>
    <t>Appointment of Sanskar Kothari w.e.f. 16.07.2018</t>
  </si>
  <si>
    <t>Appintment of Saurav Gupta w.e.f. 11.06.2018</t>
  </si>
  <si>
    <t>No change</t>
  </si>
  <si>
    <t># as per the information provided by the company</t>
  </si>
  <si>
    <t># As per the information provided by the company</t>
  </si>
  <si>
    <t>Gian Life Care Limited</t>
  </si>
  <si>
    <t>Note: Since the company's share were listed on January 13, 2020 we are considering March 31, 2020 as the 1st Financial Year.</t>
  </si>
  <si>
    <t>SM AUTOSTAMPING LIMITED</t>
  </si>
  <si>
    <t>Rs. 691.20 lakhs</t>
  </si>
  <si>
    <t>(ii) at the end of the 1st Quarter immediately after the listing of the issue (March 31, 2020)</t>
  </si>
  <si>
    <t># Since the company's share were listed on March 16, 2020 hence the same will be soon updated</t>
  </si>
  <si>
    <t>Note: Since the company's share were listed on March 16, 2020 we are considering March 31, 2020 as the 1st Financial Year.</t>
  </si>
  <si>
    <t>Rs. 18</t>
  </si>
  <si>
    <t>At close of listing day (March 16, 2020)</t>
  </si>
  <si>
    <t xml:space="preserve">Peer Group: </t>
  </si>
  <si>
    <t>Omax Autos Limited</t>
  </si>
  <si>
    <t>Rasandik Engineering Industries (India)
Limited</t>
  </si>
  <si>
    <t xml:space="preserve">Autoline Industries Ltd. </t>
  </si>
  <si>
    <r>
      <t xml:space="preserve">Issuer: </t>
    </r>
    <r>
      <rPr>
        <sz val="10"/>
        <rFont val="Times New Roman"/>
        <family val="1"/>
      </rPr>
      <t>SM Auto Stamping Limited **</t>
    </r>
  </si>
  <si>
    <r>
      <t>Issuer:</t>
    </r>
    <r>
      <rPr>
        <sz val="10"/>
        <rFont val="Times New Roman"/>
        <family val="1"/>
      </rPr>
      <t xml:space="preserve"> SM Auto Stamping Limited **</t>
    </r>
  </si>
  <si>
    <t>**Source:  Prospectus dated February 25, 2020 based on restated summary statement for period ended on September 30, 2019</t>
  </si>
  <si>
    <t>………..</t>
  </si>
  <si>
    <t>HINDPRAKASH INDUSTRIES LIMITED</t>
  </si>
  <si>
    <t>Rs. 1152 lakhs</t>
  </si>
  <si>
    <t>Note: Since the company's share were listed on January 27, 2020 we are considering March 31, 2020 as the 1st Financial Year.</t>
  </si>
  <si>
    <t xml:space="preserve">1. To meet the Working Capital Requirements of the Company - Rs. 822.23 lakhs                                                                                                                                         2.To meet General Corporate Expense -Rs. 270.00 lakhs                                      3. Issue Expenses -Rs. 59.77 lakhs. </t>
  </si>
  <si>
    <t># Since the company's share were listed on January 27, 2020 hence the same will be soon updated</t>
  </si>
  <si>
    <t xml:space="preserve">1. To meet the Working Capital Requirements of the Company - Rs. 822.23 lakhs                                                                                                                                         2.To meet General Corporate Expense -Rs. 270.00 lakhs                                   
   3. Issue Expenses -Rs. 59.77 lakhs. </t>
  </si>
  <si>
    <t>Rs. 40</t>
  </si>
  <si>
    <t>At close of listing day (January 27, 2020)</t>
  </si>
  <si>
    <t>Camex Ltd</t>
  </si>
  <si>
    <r>
      <t xml:space="preserve">Issuer: </t>
    </r>
    <r>
      <rPr>
        <sz val="10"/>
        <rFont val="Times New Roman"/>
        <family val="1"/>
      </rPr>
      <t>Hindprakash Industries Limited</t>
    </r>
    <r>
      <rPr>
        <b/>
        <sz val="10"/>
        <rFont val="Times New Roman"/>
        <family val="1"/>
      </rPr>
      <t>**</t>
    </r>
  </si>
  <si>
    <t>Mahickra Chemicals Limited</t>
  </si>
  <si>
    <t>Shree Pushkar Chemicals &amp;
Fertilisers Limited</t>
  </si>
  <si>
    <t>**Source:  Prospectus dated January 07, 2020based on restated summary statement for period ended on September 30, 2019</t>
  </si>
  <si>
    <t>Rs. 311.52 lakhs</t>
  </si>
  <si>
    <t>**Source:  Prospectus dated December 18, 2019 based on restated summary statement for period ended on June 30, 2019</t>
  </si>
  <si>
    <r>
      <t xml:space="preserve">Issuer: </t>
    </r>
    <r>
      <rPr>
        <sz val="10"/>
        <rFont val="Times New Roman"/>
        <family val="1"/>
      </rPr>
      <t xml:space="preserve">Gian Life Care Limited </t>
    </r>
    <r>
      <rPr>
        <b/>
        <sz val="10"/>
        <rFont val="Times New Roman"/>
        <family val="1"/>
      </rPr>
      <t>**</t>
    </r>
  </si>
  <si>
    <t>Thyrocare Technologies Ltd</t>
  </si>
  <si>
    <t xml:space="preserve">Dr. Lal Path Labs Ltd </t>
  </si>
  <si>
    <t>Dr Lalchandani Labs</t>
  </si>
  <si>
    <t>At close of listing day (January 13, 2020)</t>
  </si>
  <si>
    <t>Rs. 22</t>
  </si>
  <si>
    <t># Since the company's share were listed on January 13, 2020 hence the same will be soon updated</t>
  </si>
  <si>
    <t>EARUM PHARMACEUTICALS LIMITED</t>
  </si>
  <si>
    <t>**Source:  Prospectus dated June 13, 2019 based on restated summary statement for period ended on  December 31, 2018</t>
  </si>
  <si>
    <t>Vaishali Pharma Ltd.</t>
  </si>
  <si>
    <r>
      <t xml:space="preserve">Issuer: </t>
    </r>
    <r>
      <rPr>
        <sz val="10"/>
        <rFont val="Times New Roman"/>
        <family val="1"/>
      </rPr>
      <t xml:space="preserve">Earum Pharmaceuticals Limited </t>
    </r>
    <r>
      <rPr>
        <b/>
        <sz val="10"/>
        <rFont val="Times New Roman"/>
        <family val="1"/>
      </rPr>
      <t>**</t>
    </r>
  </si>
  <si>
    <t>At close of listing day (July 07, 2019 )</t>
  </si>
  <si>
    <t>Rs. 36</t>
  </si>
  <si>
    <t># Since the company's share were listed on July 07, 2019 hence the same will be soon updated</t>
  </si>
  <si>
    <t>Rs. 665.28 lakhs</t>
  </si>
  <si>
    <t>(ii) at the end of the 1st Quarter immediately after the listing of the issue (September 30,2019)</t>
  </si>
  <si>
    <t>(Rs. in Million)</t>
  </si>
  <si>
    <t xml:space="preserve">Appointment of Deepak Gadia w.e.f. 08.08.2020 </t>
  </si>
  <si>
    <t>Appintment of Nihal Sharma w.e.f. 18.07.2020</t>
  </si>
  <si>
    <t>1. Mr. Sant Kumar Joshi as Independent Director w.e.f. Arpil 22, 2019                                                                                                                                 2. Mr. Siddhartha Sengupta as Independent Director w.e.f. July 11, 2019</t>
  </si>
  <si>
    <t>No Data found</t>
  </si>
  <si>
    <t xml:space="preserve">No data  found </t>
  </si>
  <si>
    <t>No data found</t>
  </si>
  <si>
    <t>Infrequently traded</t>
  </si>
  <si>
    <t>1. Appoinment of Mr. Venkata Rama Mohan Gudapati as Whole time Director of the Company w.e.f May 29, 2019.                                                                                                                                                             2. Appoinment of Mr. Kumar Peruvemba Ramachandran as Director of the Company w.e.f  July 30, 2020.  3. Appoinment of Mr. Kameswara Rao Jagabathula as Director of the Company w.e.f August 29, 2019</t>
  </si>
  <si>
    <t>Appointment of :-
1. Mr. Hiten Jagmohandas Pabari as Wholetime Director w.e.f. 01.10.2018
2. Mr. Manish Kumar Badola as Wholetime Director w.e.f. 01.10.2018
3. Ms. Chhaya Hemal Bhagat as Wholetime Director w.e.f. 01.10.2018
4. Ms. Atrayee Dutta Gupta as Independent Director w.e.f. 21.09.2018</t>
  </si>
  <si>
    <t>Appointment of Mr. Christopher Rodricks and Mr. Rajkumar Kaswani as a director w.e.f. 23.10.2020 and cessation of Mr. Anil Kamath w.e.f. 22.08.2020</t>
  </si>
  <si>
    <t>Appointment of Mr. Bhavik Patel as a director w.e.f. 12.09.2019 and cessation of Mr. Alpesh Purohit w.e.f. 12.09.2019</t>
  </si>
  <si>
    <t>Note: Since the company's share were listed on July 04, 2019 we are considering March 31, 2020 as the 1st Financial Year.</t>
  </si>
  <si>
    <t>Cessation of Mr. Bhavesh Patel w.e.f. 27.10.20 and Appointmnet of Mr. Piyush Agarwal as Director w.e.f. 27.10.2020, Cessation of SHIVRATAN SHRIGOPAL MUNDADA w.e.f. 26.09.2019</t>
  </si>
  <si>
    <t xml:space="preserve">Resignation of Mr. Milind V. Kulkarni w.e.f April 07, 2021
</t>
  </si>
  <si>
    <t>Resignation of Mr. Harshil Jayeshbhai Shah as  Director w.e.f. June 30, 2020</t>
  </si>
  <si>
    <t>Resignation of Ms. Rutvi Jayeshbhai Shah as Non-Executive Director w.e.f 30/06/2020</t>
  </si>
  <si>
    <t>1. Appointment of Mr. Kaustubh Narayan Karwe as Director w.e.f. September 23, 2019                                      2. Resignation of Mr. Dattatreya Pendyal as Non-Executive Director w.e.f March 18, 2020</t>
  </si>
  <si>
    <t>1. Resignation of Mr. Narottam V. Joshi as Independent Director w.e.f September 14, 2020                                 2. Resignation of Mr. Jeendru V. Reddy as Independent Director w.e.f January 15, 2021 3. Appointment of Mr. Sunil Punamchand Jain as Additional Director w.e.f February 15, 2021</t>
  </si>
  <si>
    <t>EKI ENERGY SERVICES LIMITED</t>
  </si>
  <si>
    <t>Rs. 1860.48 lakhs</t>
  </si>
  <si>
    <t>(ii) at the end of the 1st Quarter immediately after the listing of the issue (June 30, 2021)</t>
  </si>
  <si>
    <t>will be                                                 updated at                                            the end of                                               1st F.Y.</t>
  </si>
  <si>
    <t xml:space="preserve">1. To meet the Working Capital Requirements of the Company - Rs. 1400.00 lakhs                                                                                                                                         2.To meet General Corporate Expense -Rs. 278.78 lakhs                                     3. Issue Related Expenses - Rs. 181.70                            </t>
  </si>
  <si>
    <t># Since the company's share were listed on April 07, 2021 hence the same will be soon updated</t>
  </si>
  <si>
    <t xml:space="preserve">1. To meet the Working Capital Requirements of the Company - Rs. 1400.00 lakhs                                                                                                                                         2.To meet General Corporate Expense -Rs. 278.78 lakhs                                                           3. Issue Related Expenses - Rs. 181.70                                                             </t>
  </si>
  <si>
    <t>Rs. 102</t>
  </si>
  <si>
    <t>At close of listing day                   (April 07, 2021)</t>
  </si>
  <si>
    <r>
      <t xml:space="preserve">Issuer: </t>
    </r>
    <r>
      <rPr>
        <sz val="10"/>
        <rFont val="Times New Roman"/>
        <family val="1"/>
      </rPr>
      <t>EKI Energy Services Ltd **</t>
    </r>
  </si>
  <si>
    <t>Mitcon Consultancy and Engineering Services Limited</t>
  </si>
  <si>
    <t>**Source:  Prospectus dated March 31, 2021 based on restated summary statement for period ended on September 30, 2020</t>
  </si>
  <si>
    <t xml:space="preserve">Will be                              updated at                             the end                                      of 1st F.Y. </t>
  </si>
  <si>
    <t>Suratwwala Business Group Limited</t>
  </si>
  <si>
    <t>Rs. 690 lakhs</t>
  </si>
  <si>
    <t>1.245 Times</t>
  </si>
  <si>
    <t>(ii) at the end of the 1st Quarter immediately after the listing of the issue (September 30, 2020)</t>
  </si>
  <si>
    <t>Infrequently Traded</t>
  </si>
  <si>
    <t xml:space="preserve">1. To meet the Working Capital Requirements of the Company - Rs. 560.00 lakhs                                                                                                                                         2.To meet General Corporate Expense -Rs. 60.50 lakhs
3. To meet Issue Expenses- Rs. 69.50 lakhs         </t>
  </si>
  <si>
    <t># Since the company's share were listed on August 13, 2020 hence the same will be soon updated</t>
  </si>
  <si>
    <t xml:space="preserve">1. To meet the Working Capital Requirements of the Company - Rs. 560.00 lakhs                                                                                                                                         2.To meet General Corporate Expense -Rs. 60.50 lakhs
3. To meet Issue Expenses- Rs. 69.50 lakhs                                      </t>
  </si>
  <si>
    <t>Rs. 15</t>
  </si>
  <si>
    <t>At close of listing day (August 13, 2020)</t>
  </si>
  <si>
    <r>
      <t xml:space="preserve">Issuer: </t>
    </r>
    <r>
      <rPr>
        <sz val="10"/>
        <rFont val="Times New Roman"/>
        <family val="1"/>
      </rPr>
      <t>Suratwwala Business Group Limited **</t>
    </r>
  </si>
  <si>
    <t xml:space="preserve">Ajmera Realty &amp; Infra India Ltd. </t>
  </si>
  <si>
    <t xml:space="preserve">Arihant Foundations &amp; Housing Ltd. </t>
  </si>
  <si>
    <t>Art Nirman Ltd.</t>
  </si>
  <si>
    <t>Kolte Patil Developers Ltd.</t>
  </si>
  <si>
    <t>Puravankara Ltd.</t>
  </si>
  <si>
    <t>**Source:  Prospectus dated July 27, 2020 based on restated summary statement for period ended on March 31, 2020</t>
  </si>
  <si>
    <t>Note: Since the company's share were listed on August 13, 2020 we are considering March 31, 2021as the 1st Financial Year.</t>
  </si>
  <si>
    <t xml:space="preserve">1. To meet the Working Capital Requirements of the Company - Rs. 111.00 lakhs
 2.To meet General  Corporate Expense -Rs. 37 lakhs  
  3. Issue Expenses -Rs. 45.44 lakhs. </t>
  </si>
  <si>
    <t>1.60 times</t>
  </si>
  <si>
    <t xml:space="preserve">1. To meet the Working Capital Requirements of the Company - Rs. 500.00 lakhs                                                                                                                                         2.To meet General Corporate Expense -Rs. 86.32 lakhs     3. Issue Expenses - Rs 78.96                             </t>
  </si>
  <si>
    <t xml:space="preserve">1. To meet the Working Capital Requirements of the Company - Rs. 500.00 lakhs
 2.To meet General  Corporate Expense -Rs. 86.32 lakhs                                                                                               3. Issue Expenses - Rs 78.96   </t>
  </si>
  <si>
    <t>1.34 times</t>
  </si>
  <si>
    <t xml:space="preserve">To open processing center in nearby cites of Kanpur (Jhansi, Banda, Faizabad, Unnao)                                                                                                                                  2. To purchase advanced machinery and equipment                                       
3. Repayment/pre-payment, of certain borrowings availed by the Company                                                   4. Issue Expenses                                                                      </t>
  </si>
  <si>
    <t>1. To open processing center in nearby cites of Kanpur (Jhansi, Banda, Faizabad, Unnao) - Rs. 86.40 lakhs                                                                                                                                         2. To purchase advanced machinery and equipment  -Rs. 100.29 lakhs                                      
3. Repayment/pre-payment, of certain borrowings availed by the Company s -Rs. 78.72 lakhs.                        4. Issue Expenses - Rs 46.11 lakhs</t>
  </si>
  <si>
    <t xml:space="preserve">1. To open processing center in nearby cites of Kanpur (Jhansi, Banda, Faizabad, Unnao) - Rs. 86.40 lakhs                                                                                                                                         2. To purchase advanced machinery and equipment  -Rs. 100.29 lakhs                                      
3. Repayment/pre-payment, of certain borrowings availed by the Company s -Rs. 78.72 lakhs.                             4. Issue Expenses - Rs 46.11 lakhs </t>
  </si>
  <si>
    <t>1.26 Times</t>
  </si>
  <si>
    <t>Mr. Jayant Suresh Fegde apointed a s director w.e.f 22.07.2020</t>
  </si>
  <si>
    <t xml:space="preserve">1. To meet the Working Capital Requirements of the Company - Rs. 500.00 lakhs                                                                                                                                         2.To meet General Corporate Expense -Rs. 89.83 lakhs   3. Issue Expenses -  Rs 101.37                                  </t>
  </si>
  <si>
    <t xml:space="preserve">1. To meet the Working Capital Requirements of the Company - Rs. 500.00 lakhs                                                                                                                                         2.To meet General Corporate Expense -Rs. 89.83 lakhs                                                                                                         3. Issue Expenses -  Rs 101.37                                                                 </t>
  </si>
  <si>
    <t>High                (during the FY)</t>
  </si>
  <si>
    <t>Index (of the Designated Stock Exchange): BSE Senxex</t>
  </si>
  <si>
    <t>As at the end of 1st FY after the listing of the issue (2018-19)</t>
  </si>
  <si>
    <t>As at the end of 2nd FY after the listing of the issue 19-20</t>
  </si>
  <si>
    <t>As at the end of 3rd FY after the listing of the issue 20-21</t>
  </si>
  <si>
    <t>As at the end of 1st FY after the listing of the issue FY 19-20</t>
  </si>
  <si>
    <t>As at the end of 2nd FY after the listing of the issue FY 20-21</t>
  </si>
  <si>
    <t>As at the end of 1st FY after the listing of the FY 19-20</t>
  </si>
  <si>
    <t>As at the end of 1st FY after the listing of the issue FY 20-21</t>
  </si>
  <si>
    <t>As at the end of 1st FY after the listing of the issue FY 18-19</t>
  </si>
  <si>
    <t>As at the end of 2nd FY after the listing of the issue FY 19-20</t>
  </si>
  <si>
    <t>Temporarily Suspended</t>
  </si>
  <si>
    <t>2.16 Times</t>
  </si>
  <si>
    <t>No Record Found</t>
  </si>
  <si>
    <t xml:space="preserve">1. Working Capital Requirements of the Company - Rs. 111.00 lakhs                                                                                                                                         2. General Corporate Expense -Rs. 37 lakhs                                      3. Issue Expenses -Rs. 45.44 lakhs. </t>
  </si>
  <si>
    <t>KNOWLEDGE MARINE &amp; ENGINEERING WORKS LIMITED</t>
  </si>
  <si>
    <t>1012.32 lakhs</t>
  </si>
  <si>
    <t>Note: Since the company's share were listed on April 07, 2021 we will be considering March 31, 2022 as the 1st Financial Year.</t>
  </si>
  <si>
    <t># Since the company's share were listed on March 22, 2021 hence the same will be soon updated</t>
  </si>
  <si>
    <t>Note: Since the company's share were listed on March 22, 2020 we will be considering March 31, 2021 as the 1st Financial Year.</t>
  </si>
  <si>
    <t xml:space="preserve">1. To meet the Working Capital Requirements of the Company - Rs. 760.00 lakhs                                                                                                                                         2.To meet General Corporate Expense -Rs. 147.21 lakhs                                     3. Issue Related Expenses - Rs. 105.11                    </t>
  </si>
  <si>
    <t xml:space="preserve">1. To meet the Working Capital Requirements of the Company - Rs. 760.00 lakhs                                                                                                                                         2.To meet General Corporate Expense -Rs. 147.21 lakhs                                                                      3. Issue Related Expenses - Rs. 105.11                    </t>
  </si>
  <si>
    <t xml:space="preserve">Dredging Corporation of
Indian Limited </t>
  </si>
  <si>
    <r>
      <t xml:space="preserve">Issuer: </t>
    </r>
    <r>
      <rPr>
        <sz val="10"/>
        <rFont val="Times New Roman"/>
        <family val="1"/>
      </rPr>
      <t>KMEW **</t>
    </r>
  </si>
  <si>
    <t>**Source:  Prospectus dated March 02, 2021 based on restated summary statement for period ended on September 30, 2020</t>
  </si>
  <si>
    <t>At close of listing day                   (March 22, 2021)</t>
  </si>
  <si>
    <t>2.67 times</t>
  </si>
  <si>
    <t xml:space="preserve">Funding the Working Capital Requirements of the Company - 510 Lacs.                                                                                      Repayment of Unsecured Loan availed by our Company -200 Lacs                                                                General Corporate Expense -232.55Lacs.                                      Issue Expenses -68.33 Lacs. </t>
  </si>
  <si>
    <t xml:space="preserve">Funding the Working Capital Requirements of the Company - 510 Lacs.                                                                                      Repayment of Unsecured Loan availed by our Company -200 Lacs                                                                General Corporate Expense -232.55Lacs.                                                                                                                      Issue Expenses -68.33 Lacs. </t>
  </si>
  <si>
    <t xml:space="preserve">Working Capital Requirements of the Company - Rs. 500.00 lakhs                                                                                                                                         General Corporate Expense -Rs. 89.83 lakhs                          Issue Expenses -  Rs 101.37                                  </t>
  </si>
  <si>
    <t xml:space="preserve">Working Capital Requirements of the Company - Rs. 500.00 lakhs                                                                                                                                         General Corporate Expense -Rs. 89.83 lakhs                                                                                                                Issue Expenses -  Rs 101.37  </t>
  </si>
  <si>
    <t>Dev Information Technology Limited</t>
  </si>
  <si>
    <t>Rs 624.96 lakhs</t>
  </si>
  <si>
    <t>72.06 Times</t>
  </si>
  <si>
    <t xml:space="preserve">3rd FY* </t>
  </si>
  <si>
    <t>Appointed Jatin Trivedi as a director w.e.f. 20.12.2019 and cessation of Hiren Patel w.e.f. 14.11.2019</t>
  </si>
  <si>
    <t xml:space="preserve">1. Working Capital requirement- 564.96 Lacs                                     2. General Corporate Purposes- 18 Lacs                                                                                     3. Issue Expenses- 42 Lacs                                                                   </t>
  </si>
  <si>
    <t xml:space="preserve">1. Working Capital requirement- 564.96 Lacs                                     2. General Corporate Purposes- 15.33 Lacs                                                                                     3. Issue Expenses- 44.67 Lacs    </t>
  </si>
  <si>
    <t xml:space="preserve">1. Working Capital requirement- 564.96 Lacs
2. General Corporate Purposes- 18 Lacs
3. Issue Expenses- 42 Lacs                                                                   </t>
  </si>
  <si>
    <t xml:space="preserve">1. Working Capital requirement- 564.96 Lacs  
2.. General Corporate Purposes- 15.33 Lacs   
3. Issue Expenses- 44.67 Lacs </t>
  </si>
  <si>
    <t>At close of listing day (April 17, 2017)</t>
  </si>
  <si>
    <r>
      <t xml:space="preserve">Issuer: </t>
    </r>
    <r>
      <rPr>
        <sz val="10"/>
        <rFont val="Times New Roman"/>
        <family val="1"/>
      </rPr>
      <t>Dev Information Technology Limited</t>
    </r>
    <r>
      <rPr>
        <b/>
        <sz val="10"/>
        <rFont val="Times New Roman"/>
        <family val="1"/>
      </rPr>
      <t xml:space="preserve"> **</t>
    </r>
  </si>
  <si>
    <t>Ceinsys Tech Limited (fomerly ADCC Infocad limited)</t>
  </si>
  <si>
    <t>Accelya Kale Solution Limited</t>
  </si>
  <si>
    <t>Axiscades Engineering Technologies Limited</t>
  </si>
  <si>
    <t>8k Miles Software Services limited</t>
  </si>
  <si>
    <t>Cybertech System &amp; Software Limited</t>
  </si>
  <si>
    <t>Mindteck (India) Limited</t>
  </si>
  <si>
    <t>Onward Technologies Limited</t>
  </si>
  <si>
    <t>**Source:  Prospectus dated March 24, 2017 - based on restated summary statement for period ended on March, 2017.</t>
  </si>
  <si>
    <t>Note: Since the company's share were listed on April 17, 2017, we are considering March 31, 2018 as the 1st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</si>
</sst>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
    <numFmt numFmtId="165" formatCode="0.0"/>
    <numFmt numFmtId="166" formatCode="0.0%"/>
  </numFmts>
  <fonts count="27" x14ac:knownFonts="1">
    <font>
      <sz val="11"/>
      <color theme="1"/>
      <name val="Calibri"/>
      <family val="2"/>
      <scheme val="minor"/>
    </font>
    <font>
      <sz val="11"/>
      <color theme="1"/>
      <name val="Calibri"/>
      <family val="2"/>
      <scheme val="minor"/>
    </font>
    <font>
      <b/>
      <u/>
      <sz val="10"/>
      <name val="Times New Roman"/>
      <family val="1"/>
    </font>
    <font>
      <b/>
      <sz val="10"/>
      <color theme="1"/>
      <name val="Times New Roman"/>
      <family val="1"/>
    </font>
    <font>
      <b/>
      <sz val="10"/>
      <name val="Times New Roman"/>
      <family val="1"/>
    </font>
    <font>
      <sz val="10"/>
      <color theme="1"/>
      <name val="Times New Roman"/>
      <family val="1"/>
    </font>
    <font>
      <sz val="10"/>
      <name val="Times New Roman"/>
      <family val="1"/>
    </font>
    <font>
      <i/>
      <sz val="9"/>
      <name val="Times New Roman"/>
      <family val="1"/>
    </font>
    <font>
      <b/>
      <i/>
      <sz val="9"/>
      <name val="Times New Roman"/>
      <family val="1"/>
    </font>
    <font>
      <i/>
      <sz val="10"/>
      <name val="Times New Roman"/>
      <family val="1"/>
    </font>
    <font>
      <b/>
      <sz val="10"/>
      <color rgb="FFFF0000"/>
      <name val="Times New Roman"/>
      <family val="1"/>
    </font>
    <font>
      <b/>
      <sz val="10"/>
      <color theme="1" tint="4.9989318521683403E-2"/>
      <name val="Times New Roman"/>
      <family val="1"/>
    </font>
    <font>
      <sz val="10"/>
      <color theme="1"/>
      <name val="Calibri"/>
      <family val="2"/>
      <scheme val="minor"/>
    </font>
    <font>
      <i/>
      <sz val="9"/>
      <color theme="1"/>
      <name val="Times New Roman"/>
      <family val="1"/>
    </font>
    <font>
      <b/>
      <sz val="9"/>
      <name val="Times New Roman"/>
      <family val="1"/>
    </font>
    <font>
      <sz val="10"/>
      <color rgb="FF000000"/>
      <name val="Times New Roman"/>
      <family val="1"/>
    </font>
    <font>
      <b/>
      <sz val="10"/>
      <color indexed="8"/>
      <name val="Times New Roman"/>
      <family val="1"/>
    </font>
    <font>
      <i/>
      <sz val="9"/>
      <color indexed="8"/>
      <name val="Times New Roman"/>
      <family val="1"/>
    </font>
    <font>
      <b/>
      <i/>
      <sz val="11"/>
      <color theme="1"/>
      <name val="Calibri"/>
      <family val="2"/>
      <scheme val="minor"/>
    </font>
    <font>
      <b/>
      <i/>
      <sz val="10"/>
      <name val="Times New Roman"/>
      <family val="1"/>
    </font>
    <font>
      <i/>
      <sz val="10"/>
      <color theme="1"/>
      <name val="Times New Roman"/>
      <family val="1"/>
    </font>
    <font>
      <i/>
      <sz val="10"/>
      <color indexed="8"/>
      <name val="Times New Roman"/>
      <family val="1"/>
    </font>
    <font>
      <b/>
      <i/>
      <sz val="10"/>
      <color theme="1"/>
      <name val="Times New Roman"/>
      <family val="1"/>
    </font>
    <font>
      <sz val="10"/>
      <color theme="1" tint="4.9989318521683403E-2"/>
      <name val="Times New Roman"/>
      <family val="1"/>
    </font>
    <font>
      <sz val="11"/>
      <color theme="1"/>
      <name val="Times New Roman"/>
      <family val="1"/>
    </font>
    <font>
      <sz val="9"/>
      <color theme="1"/>
      <name val="Times New Roman"/>
      <family val="1"/>
    </font>
    <font>
      <sz val="10"/>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bottom/>
      <diagonal/>
    </border>
    <border>
      <left style="thin">
        <color indexed="64"/>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top style="thin">
        <color theme="1"/>
      </top>
      <bottom style="thin">
        <color indexed="64"/>
      </bottom>
      <diagonal/>
    </border>
    <border>
      <left/>
      <right/>
      <top style="thin">
        <color theme="1"/>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auto="1"/>
      </right>
      <top style="thin">
        <color theme="0" tint="-0.24994659260841701"/>
      </top>
      <bottom/>
      <diagonal/>
    </border>
    <border>
      <left/>
      <right style="thin">
        <color indexed="64"/>
      </right>
      <top/>
      <bottom/>
      <diagonal/>
    </border>
    <border>
      <left style="thin">
        <color auto="1"/>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auto="1"/>
      </left>
      <right style="thin">
        <color auto="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50">
    <xf numFmtId="0" fontId="0" fillId="0" borderId="0" xfId="0"/>
    <xf numFmtId="0" fontId="0" fillId="0" borderId="0" xfId="0" applyFill="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3" fillId="0" borderId="0" xfId="0" applyFont="1" applyFill="1" applyAlignment="1">
      <alignment horizontal="center"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6" fillId="0" borderId="0"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vertical="top" wrapText="1"/>
    </xf>
    <xf numFmtId="0" fontId="5" fillId="0" borderId="0"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3" xfId="0" applyFont="1" applyFill="1" applyBorder="1" applyAlignment="1">
      <alignment vertical="top" wrapText="1"/>
    </xf>
    <xf numFmtId="0" fontId="6"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0" xfId="0" applyFont="1" applyFill="1" applyAlignment="1">
      <alignment vertical="top" wrapText="1"/>
    </xf>
    <xf numFmtId="0" fontId="4" fillId="0" borderId="3"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10" xfId="0" applyFont="1" applyFill="1" applyBorder="1" applyAlignment="1">
      <alignment horizontal="center" vertical="top" wrapText="1"/>
    </xf>
    <xf numFmtId="0" fontId="10" fillId="0" borderId="0" xfId="0" applyFont="1" applyFill="1" applyBorder="1" applyAlignment="1">
      <alignment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6" xfId="0" applyFont="1" applyFill="1" applyBorder="1" applyAlignment="1">
      <alignment horizontal="center" vertical="top" wrapText="1"/>
    </xf>
    <xf numFmtId="0" fontId="12" fillId="0" borderId="17" xfId="0" applyFont="1" applyFill="1" applyBorder="1" applyAlignment="1">
      <alignment horizontal="left" vertical="top" wrapText="1"/>
    </xf>
    <xf numFmtId="0" fontId="5" fillId="0" borderId="6" xfId="0" applyFont="1" applyFill="1" applyBorder="1" applyAlignment="1">
      <alignment vertical="top" wrapText="1"/>
    </xf>
    <xf numFmtId="2" fontId="5" fillId="0" borderId="0" xfId="0" applyNumberFormat="1" applyFont="1" applyFill="1" applyBorder="1" applyAlignment="1">
      <alignment horizontal="right" vertical="top" wrapText="1"/>
    </xf>
    <xf numFmtId="0" fontId="3" fillId="0" borderId="19" xfId="0" applyFont="1" applyFill="1" applyBorder="1" applyAlignment="1">
      <alignment vertical="top" wrapText="1"/>
    </xf>
    <xf numFmtId="0" fontId="0" fillId="0" borderId="0" xfId="0" applyAlignment="1"/>
    <xf numFmtId="0" fontId="4" fillId="0" borderId="20" xfId="0" applyFont="1" applyFill="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0" xfId="0" applyFont="1" applyBorder="1" applyAlignment="1">
      <alignment horizontal="right" vertical="top" wrapText="1"/>
    </xf>
    <xf numFmtId="2" fontId="5" fillId="0" borderId="5" xfId="0" applyNumberFormat="1" applyFont="1" applyFill="1" applyBorder="1" applyAlignment="1">
      <alignment horizontal="right" vertical="top" wrapText="1"/>
    </xf>
    <xf numFmtId="0" fontId="4" fillId="0" borderId="21" xfId="0" applyFont="1" applyFill="1" applyBorder="1" applyAlignment="1">
      <alignment horizontal="center" vertical="top" wrapText="1"/>
    </xf>
    <xf numFmtId="0" fontId="6" fillId="0" borderId="22" xfId="0" applyFont="1" applyFill="1" applyBorder="1" applyAlignment="1">
      <alignment vertical="top" wrapText="1"/>
    </xf>
    <xf numFmtId="0" fontId="6" fillId="0" borderId="20" xfId="0" applyFont="1" applyFill="1" applyBorder="1" applyAlignment="1">
      <alignment vertical="top" wrapText="1"/>
    </xf>
    <xf numFmtId="15" fontId="4" fillId="0" borderId="0" xfId="0" applyNumberFormat="1" applyFont="1" applyFill="1" applyBorder="1" applyAlignment="1">
      <alignment vertical="top" wrapText="1"/>
    </xf>
    <xf numFmtId="15" fontId="4" fillId="0" borderId="0" xfId="0" applyNumberFormat="1" applyFont="1" applyFill="1" applyBorder="1" applyAlignment="1">
      <alignment horizontal="left" vertical="top" wrapText="1"/>
    </xf>
    <xf numFmtId="2" fontId="6" fillId="0" borderId="1" xfId="0" applyNumberFormat="1" applyFont="1" applyFill="1" applyBorder="1" applyAlignment="1">
      <alignment horizontal="right" vertical="top" wrapText="1"/>
    </xf>
    <xf numFmtId="2" fontId="6" fillId="0" borderId="3" xfId="0" applyNumberFormat="1" applyFont="1" applyFill="1" applyBorder="1" applyAlignment="1">
      <alignment horizontal="right" vertical="top" wrapText="1"/>
    </xf>
    <xf numFmtId="4" fontId="15" fillId="0" borderId="1" xfId="0" applyNumberFormat="1" applyFont="1" applyFill="1" applyBorder="1"/>
    <xf numFmtId="0" fontId="5" fillId="0" borderId="1" xfId="0" applyFont="1" applyFill="1" applyBorder="1"/>
    <xf numFmtId="0" fontId="3" fillId="0" borderId="0" xfId="0" applyFont="1" applyFill="1" applyAlignment="1">
      <alignment vertical="top" wrapText="1"/>
    </xf>
    <xf numFmtId="0" fontId="6" fillId="0" borderId="23" xfId="0" applyFont="1" applyFill="1" applyBorder="1" applyAlignment="1">
      <alignment vertical="top" wrapText="1"/>
    </xf>
    <xf numFmtId="0" fontId="16" fillId="0" borderId="1" xfId="0" applyFont="1" applyFill="1" applyBorder="1" applyAlignment="1">
      <alignment horizontal="center" vertical="top" wrapText="1"/>
    </xf>
    <xf numFmtId="0" fontId="0" fillId="0" borderId="1" xfId="0" applyBorder="1" applyAlignment="1">
      <alignment horizontal="center"/>
    </xf>
    <xf numFmtId="0" fontId="6" fillId="0" borderId="1" xfId="0" applyFont="1" applyFill="1" applyBorder="1" applyAlignment="1">
      <alignment horizontal="center" vertical="center" wrapText="1"/>
    </xf>
    <xf numFmtId="0" fontId="6" fillId="0" borderId="0" xfId="0" applyFont="1" applyFill="1" applyBorder="1" applyAlignment="1">
      <alignment vertical="top" wrapText="1"/>
    </xf>
    <xf numFmtId="2" fontId="5"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center" vertical="center" wrapText="1"/>
    </xf>
    <xf numFmtId="10" fontId="6" fillId="0" borderId="1" xfId="1" applyNumberFormat="1" applyFont="1" applyFill="1" applyBorder="1" applyAlignment="1">
      <alignment horizontal="center" vertical="center" wrapText="1"/>
    </xf>
    <xf numFmtId="0" fontId="6" fillId="0" borderId="24" xfId="0" applyFont="1" applyFill="1" applyBorder="1" applyAlignment="1">
      <alignment vertical="top" wrapText="1"/>
    </xf>
    <xf numFmtId="0" fontId="16" fillId="0" borderId="3" xfId="0" applyFont="1" applyFill="1" applyBorder="1" applyAlignment="1">
      <alignment horizontal="center" vertical="top" wrapText="1"/>
    </xf>
    <xf numFmtId="164" fontId="6" fillId="0" borderId="1" xfId="0" applyNumberFormat="1" applyFont="1" applyFill="1" applyBorder="1" applyAlignment="1">
      <alignment horizontal="center" vertical="center" wrapText="1"/>
    </xf>
    <xf numFmtId="0" fontId="16" fillId="0" borderId="11" xfId="0" applyFont="1" applyFill="1" applyBorder="1" applyAlignment="1">
      <alignment horizontal="center" vertical="top" wrapText="1"/>
    </xf>
    <xf numFmtId="0" fontId="3" fillId="0" borderId="1" xfId="0" applyFont="1" applyFill="1" applyBorder="1" applyAlignment="1">
      <alignment vertical="top" wrapText="1"/>
    </xf>
    <xf numFmtId="0" fontId="5" fillId="0" borderId="0" xfId="0" applyFont="1" applyFill="1" applyAlignment="1">
      <alignment horizontal="center" vertical="top" wrapText="1"/>
    </xf>
    <xf numFmtId="0" fontId="0" fillId="0" borderId="5" xfId="0" applyFill="1" applyBorder="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17" xfId="0" applyFont="1" applyFill="1" applyBorder="1" applyAlignment="1">
      <alignment horizontal="left" vertical="top" wrapText="1"/>
    </xf>
    <xf numFmtId="0" fontId="5" fillId="0" borderId="0" xfId="0" applyFont="1" applyAlignment="1"/>
    <xf numFmtId="0" fontId="5" fillId="0" borderId="0" xfId="0" applyFont="1"/>
    <xf numFmtId="2" fontId="6" fillId="0" borderId="3" xfId="0" applyNumberFormat="1" applyFont="1" applyFill="1" applyBorder="1" applyAlignment="1">
      <alignment horizontal="right" wrapText="1"/>
    </xf>
    <xf numFmtId="0" fontId="5" fillId="0" borderId="1" xfId="0" applyFont="1" applyBorder="1" applyAlignment="1">
      <alignment horizontal="center"/>
    </xf>
    <xf numFmtId="0" fontId="6" fillId="0" borderId="1" xfId="0" applyFont="1" applyFill="1" applyBorder="1" applyAlignment="1">
      <alignment vertical="center" wrapText="1"/>
    </xf>
    <xf numFmtId="0" fontId="6" fillId="0" borderId="1" xfId="0" quotePrefix="1" applyFont="1" applyFill="1" applyBorder="1" applyAlignment="1">
      <alignment horizontal="center" vertical="center" wrapText="1"/>
    </xf>
    <xf numFmtId="0" fontId="5" fillId="0" borderId="1" xfId="0" applyFont="1" applyBorder="1"/>
    <xf numFmtId="0" fontId="5" fillId="0" borderId="1" xfId="0" quotePrefix="1" applyFont="1" applyBorder="1" applyAlignment="1">
      <alignment horizontal="center"/>
    </xf>
    <xf numFmtId="0" fontId="5" fillId="0" borderId="5" xfId="0" applyFont="1" applyFill="1" applyBorder="1" applyAlignment="1">
      <alignment vertical="top" wrapText="1"/>
    </xf>
    <xf numFmtId="2" fontId="6" fillId="0" borderId="1" xfId="0" applyNumberFormat="1" applyFont="1" applyFill="1" applyBorder="1" applyAlignment="1">
      <alignment vertical="center" wrapText="1"/>
    </xf>
    <xf numFmtId="10" fontId="6" fillId="0" borderId="1" xfId="1" applyNumberFormat="1" applyFont="1" applyFill="1" applyBorder="1" applyAlignment="1">
      <alignment vertical="center" wrapText="1"/>
    </xf>
    <xf numFmtId="4" fontId="15" fillId="0" borderId="1" xfId="0" applyNumberFormat="1" applyFont="1" applyFill="1" applyBorder="1" applyAlignment="1">
      <alignment horizontal="right"/>
    </xf>
    <xf numFmtId="2" fontId="6" fillId="0" borderId="1" xfId="0" applyNumberFormat="1" applyFont="1" applyFill="1" applyBorder="1" applyAlignment="1">
      <alignment horizontal="right" wrapText="1"/>
    </xf>
    <xf numFmtId="0" fontId="0" fillId="0" borderId="1" xfId="0" applyBorder="1" applyAlignment="1">
      <alignment horizontal="right"/>
    </xf>
    <xf numFmtId="0" fontId="5" fillId="0" borderId="1" xfId="0" applyFont="1" applyFill="1" applyBorder="1" applyAlignment="1">
      <alignment horizontal="right"/>
    </xf>
    <xf numFmtId="0" fontId="5" fillId="0" borderId="1" xfId="0" applyFont="1" applyFill="1" applyBorder="1" applyAlignment="1">
      <alignment horizontal="center"/>
    </xf>
    <xf numFmtId="2" fontId="5" fillId="0" borderId="1" xfId="0" quotePrefix="1" applyNumberFormat="1" applyFont="1" applyFill="1" applyBorder="1" applyAlignment="1">
      <alignment horizontal="center" vertical="top" wrapText="1"/>
    </xf>
    <xf numFmtId="2" fontId="5" fillId="0" borderId="1" xfId="0" applyNumberFormat="1" applyFont="1" applyFill="1" applyBorder="1" applyAlignment="1">
      <alignment horizontal="center"/>
    </xf>
    <xf numFmtId="0" fontId="5" fillId="0" borderId="1" xfId="0" applyFont="1" applyFill="1" applyBorder="1" applyAlignment="1">
      <alignment horizontal="center" vertical="top" wrapText="1"/>
    </xf>
    <xf numFmtId="0" fontId="4" fillId="0" borderId="1" xfId="0" applyFont="1" applyFill="1" applyBorder="1" applyAlignment="1">
      <alignment vertical="center" wrapText="1"/>
    </xf>
    <xf numFmtId="10" fontId="4" fillId="0" borderId="1" xfId="0" applyNumberFormat="1" applyFont="1" applyFill="1" applyBorder="1" applyAlignment="1">
      <alignment vertical="center" wrapText="1"/>
    </xf>
    <xf numFmtId="0" fontId="4" fillId="0" borderId="0" xfId="0" applyFont="1" applyFill="1" applyBorder="1" applyAlignment="1">
      <alignment horizontal="left" vertical="top" wrapText="1" indent="1"/>
    </xf>
    <xf numFmtId="0" fontId="5" fillId="2" borderId="1" xfId="0" applyFont="1" applyFill="1" applyBorder="1" applyAlignment="1">
      <alignment horizontal="center"/>
    </xf>
    <xf numFmtId="2" fontId="5" fillId="2" borderId="1" xfId="0" applyNumberFormat="1" applyFont="1" applyFill="1" applyBorder="1" applyAlignment="1">
      <alignment horizontal="center" vertical="top" wrapText="1"/>
    </xf>
    <xf numFmtId="0" fontId="5" fillId="2" borderId="1" xfId="0" quotePrefix="1" applyFont="1" applyFill="1" applyBorder="1" applyAlignment="1">
      <alignment horizontal="center"/>
    </xf>
    <xf numFmtId="0" fontId="6" fillId="0" borderId="17" xfId="0" applyFont="1" applyFill="1" applyBorder="1" applyAlignment="1">
      <alignment horizontal="left" vertical="top" wrapText="1"/>
    </xf>
    <xf numFmtId="0" fontId="6" fillId="0" borderId="6" xfId="0" applyFont="1" applyFill="1" applyBorder="1" applyAlignment="1">
      <alignment vertical="top" wrapText="1"/>
    </xf>
    <xf numFmtId="2" fontId="6" fillId="0" borderId="1" xfId="0" applyNumberFormat="1" applyFont="1" applyFill="1" applyBorder="1" applyAlignment="1">
      <alignment horizontal="right" vertical="center" wrapText="1"/>
    </xf>
    <xf numFmtId="2" fontId="6" fillId="0" borderId="1" xfId="0" quotePrefix="1" applyNumberFormat="1" applyFont="1" applyFill="1" applyBorder="1" applyAlignment="1">
      <alignment horizontal="right" vertical="center" wrapText="1"/>
    </xf>
    <xf numFmtId="0" fontId="6" fillId="0" borderId="3" xfId="0" applyFont="1" applyFill="1" applyBorder="1" applyAlignment="1">
      <alignment horizontal="center" vertical="top" wrapText="1"/>
    </xf>
    <xf numFmtId="2" fontId="6" fillId="0" borderId="3" xfId="0" applyNumberFormat="1" applyFont="1" applyFill="1" applyBorder="1" applyAlignment="1">
      <alignment horizontal="center" vertical="center" wrapText="1"/>
    </xf>
    <xf numFmtId="2" fontId="5" fillId="0" borderId="1" xfId="0" quotePrefix="1" applyNumberFormat="1" applyFont="1" applyFill="1" applyBorder="1" applyAlignment="1">
      <alignment horizontal="center"/>
    </xf>
    <xf numFmtId="10" fontId="6" fillId="0" borderId="1" xfId="0" applyNumberFormat="1" applyFont="1" applyFill="1" applyBorder="1" applyAlignment="1">
      <alignment vertical="center" wrapText="1"/>
    </xf>
    <xf numFmtId="10" fontId="5" fillId="0" borderId="1" xfId="1" quotePrefix="1" applyNumberFormat="1" applyFont="1" applyFill="1" applyBorder="1" applyAlignment="1">
      <alignment horizontal="center" vertical="top" wrapText="1"/>
    </xf>
    <xf numFmtId="9" fontId="5" fillId="0" borderId="1" xfId="1" quotePrefix="1" applyFont="1" applyFill="1" applyBorder="1" applyAlignment="1">
      <alignment horizontal="center" vertical="top" wrapText="1"/>
    </xf>
    <xf numFmtId="9" fontId="6" fillId="0" borderId="1" xfId="1" applyFont="1" applyFill="1" applyBorder="1" applyAlignment="1">
      <alignment vertical="center" wrapText="1"/>
    </xf>
    <xf numFmtId="10" fontId="5" fillId="0" borderId="1" xfId="1" applyNumberFormat="1" applyFont="1" applyFill="1" applyBorder="1" applyAlignment="1">
      <alignment horizontal="center"/>
    </xf>
    <xf numFmtId="0" fontId="6" fillId="0" borderId="1" xfId="0" applyFont="1" applyFill="1" applyBorder="1" applyAlignment="1">
      <alignment horizontal="right" vertical="top" wrapText="1"/>
    </xf>
    <xf numFmtId="10" fontId="5" fillId="0" borderId="1" xfId="0" applyNumberFormat="1" applyFont="1" applyFill="1" applyBorder="1" applyAlignment="1">
      <alignment horizontal="center"/>
    </xf>
    <xf numFmtId="0" fontId="0" fillId="0" borderId="0" xfId="0" applyAlignment="1">
      <alignment horizontal="center"/>
    </xf>
    <xf numFmtId="0" fontId="5" fillId="0" borderId="0" xfId="0" applyFont="1" applyAlignment="1">
      <alignment horizontal="center" vertical="top" wrapText="1"/>
    </xf>
    <xf numFmtId="0" fontId="3" fillId="0" borderId="0" xfId="0" applyFont="1" applyFill="1" applyBorder="1" applyAlignment="1">
      <alignment horizontal="center" vertical="top" wrapText="1"/>
    </xf>
    <xf numFmtId="0" fontId="6" fillId="0" borderId="20" xfId="0"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1" xfId="0" quotePrefix="1" applyFont="1" applyFill="1" applyBorder="1" applyAlignment="1">
      <alignment horizontal="right" vertical="center" wrapText="1"/>
    </xf>
    <xf numFmtId="0" fontId="5" fillId="0" borderId="1" xfId="0" applyFont="1" applyBorder="1" applyAlignment="1">
      <alignment horizontal="center" vertical="top" wrapText="1"/>
    </xf>
    <xf numFmtId="0" fontId="5" fillId="0" borderId="5" xfId="0" applyFont="1" applyFill="1" applyBorder="1" applyAlignment="1">
      <alignment horizontal="center" vertical="top" wrapText="1"/>
    </xf>
    <xf numFmtId="0" fontId="24" fillId="0" borderId="0" xfId="0" applyFont="1"/>
    <xf numFmtId="15" fontId="4" fillId="0" borderId="0" xfId="0" applyNumberFormat="1" applyFont="1" applyFill="1" applyBorder="1" applyAlignment="1">
      <alignment horizontal="center" vertical="top" wrapText="1"/>
    </xf>
    <xf numFmtId="15" fontId="5" fillId="0" borderId="0" xfId="0" applyNumberFormat="1" applyFont="1" applyAlignment="1">
      <alignment vertical="top" wrapText="1"/>
    </xf>
    <xf numFmtId="2" fontId="6" fillId="0" borderId="3" xfId="0" quotePrefix="1" applyNumberFormat="1" applyFont="1" applyFill="1" applyBorder="1" applyAlignment="1">
      <alignment horizontal="right" vertical="top" wrapText="1"/>
    </xf>
    <xf numFmtId="0" fontId="11"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2" fontId="6" fillId="0" borderId="1" xfId="0" quotePrefix="1"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vertical="top"/>
    </xf>
    <xf numFmtId="0" fontId="23"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4" fillId="0" borderId="8" xfId="0" applyFont="1" applyFill="1" applyBorder="1" applyAlignment="1">
      <alignment horizontal="left" vertical="top" wrapText="1"/>
    </xf>
    <xf numFmtId="0" fontId="5" fillId="0" borderId="0" xfId="0" applyFont="1" applyFill="1" applyAlignment="1">
      <alignment horizontal="center" vertical="top" wrapText="1"/>
    </xf>
    <xf numFmtId="0" fontId="11" fillId="0" borderId="1" xfId="0" applyFont="1" applyFill="1" applyBorder="1" applyAlignment="1">
      <alignment horizontal="center" vertical="center" wrapText="1"/>
    </xf>
    <xf numFmtId="0" fontId="5" fillId="0" borderId="1" xfId="0" applyFont="1" applyFill="1" applyBorder="1" applyAlignment="1">
      <alignment vertical="top" wrapText="1"/>
    </xf>
    <xf numFmtId="14" fontId="4" fillId="0" borderId="0"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6" fillId="0" borderId="1" xfId="0" applyNumberFormat="1" applyFont="1" applyFill="1" applyBorder="1" applyAlignment="1">
      <alignment horizontal="right" vertical="top" wrapText="1"/>
    </xf>
    <xf numFmtId="0" fontId="5" fillId="0" borderId="1" xfId="0" applyFont="1" applyBorder="1" applyAlignment="1">
      <alignment vertical="top" wrapText="1"/>
    </xf>
    <xf numFmtId="2" fontId="6"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0" fontId="5" fillId="0" borderId="1" xfId="0" applyNumberFormat="1" applyFont="1" applyBorder="1" applyAlignment="1">
      <alignment vertical="top" wrapText="1"/>
    </xf>
    <xf numFmtId="10" fontId="6" fillId="0" borderId="1" xfId="0" applyNumberFormat="1" applyFont="1" applyFill="1" applyBorder="1" applyAlignment="1">
      <alignment vertical="top" wrapText="1"/>
    </xf>
    <xf numFmtId="0" fontId="24" fillId="0" borderId="1" xfId="0" applyFont="1" applyBorder="1" applyAlignment="1">
      <alignment horizontal="center" vertical="center"/>
    </xf>
    <xf numFmtId="2" fontId="5" fillId="0" borderId="1" xfId="0" quotePrefix="1" applyNumberFormat="1" applyFont="1" applyFill="1" applyBorder="1" applyAlignment="1">
      <alignment horizontal="right" vertical="top" wrapText="1"/>
    </xf>
    <xf numFmtId="164" fontId="6"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164" fontId="6" fillId="0" borderId="1" xfId="0" applyNumberFormat="1" applyFont="1" applyFill="1" applyBorder="1" applyAlignment="1">
      <alignment vertical="top" wrapText="1"/>
    </xf>
    <xf numFmtId="2" fontId="3" fillId="0" borderId="1" xfId="0" quotePrefix="1" applyNumberFormat="1" applyFont="1" applyFill="1" applyBorder="1" applyAlignment="1">
      <alignment horizontal="center" vertical="top" wrapText="1"/>
    </xf>
    <xf numFmtId="2" fontId="3" fillId="0" borderId="1" xfId="0" quotePrefix="1" applyNumberFormat="1" applyFont="1" applyFill="1" applyBorder="1" applyAlignment="1">
      <alignment horizontal="right" vertical="top"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vertical="center" wrapText="1"/>
    </xf>
    <xf numFmtId="2" fontId="3" fillId="0" borderId="1" xfId="0" quotePrefix="1" applyNumberFormat="1" applyFont="1" applyFill="1" applyBorder="1" applyAlignment="1">
      <alignment vertical="top" wrapText="1"/>
    </xf>
    <xf numFmtId="2"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2" fontId="5" fillId="0" borderId="8" xfId="0" applyNumberFormat="1" applyFont="1" applyFill="1" applyBorder="1" applyAlignment="1">
      <alignment horizontal="center" vertical="top" wrapText="1"/>
    </xf>
    <xf numFmtId="2" fontId="5" fillId="0" borderId="1" xfId="0" applyNumberFormat="1" applyFont="1" applyBorder="1" applyAlignment="1">
      <alignment horizontal="center" vertical="top" wrapText="1"/>
    </xf>
    <xf numFmtId="2" fontId="5" fillId="0" borderId="1" xfId="1" quotePrefix="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0" fontId="5" fillId="0" borderId="8" xfId="0" applyFont="1" applyFill="1" applyBorder="1" applyAlignment="1">
      <alignment horizontal="center"/>
    </xf>
    <xf numFmtId="2" fontId="5" fillId="0" borderId="8" xfId="0" quotePrefix="1" applyNumberFormat="1" applyFont="1" applyFill="1" applyBorder="1" applyAlignment="1">
      <alignment horizontal="center" vertical="top" wrapText="1"/>
    </xf>
    <xf numFmtId="2" fontId="5" fillId="0" borderId="8" xfId="0" applyNumberFormat="1" applyFont="1" applyFill="1" applyBorder="1" applyAlignment="1">
      <alignment horizontal="center"/>
    </xf>
    <xf numFmtId="2" fontId="5" fillId="0" borderId="8" xfId="1" quotePrefix="1" applyNumberFormat="1" applyFont="1" applyFill="1" applyBorder="1" applyAlignment="1">
      <alignment horizontal="center" vertical="top" wrapText="1"/>
    </xf>
    <xf numFmtId="2" fontId="3" fillId="0" borderId="8" xfId="0" quotePrefix="1" applyNumberFormat="1" applyFont="1" applyFill="1" applyBorder="1" applyAlignment="1">
      <alignment horizontal="center" vertical="top" wrapText="1"/>
    </xf>
    <xf numFmtId="165" fontId="5" fillId="0" borderId="0" xfId="0" applyNumberFormat="1" applyFont="1" applyAlignment="1">
      <alignment horizontal="center" vertical="top" wrapText="1"/>
    </xf>
    <xf numFmtId="2" fontId="3" fillId="0" borderId="1" xfId="0" applyNumberFormat="1" applyFont="1" applyFill="1" applyBorder="1" applyAlignment="1">
      <alignment horizontal="center" vertical="top" wrapText="1"/>
    </xf>
    <xf numFmtId="10" fontId="5" fillId="0" borderId="8" xfId="1" applyNumberFormat="1" applyFont="1" applyFill="1" applyBorder="1" applyAlignment="1">
      <alignment horizontal="center"/>
    </xf>
    <xf numFmtId="2" fontId="5" fillId="0" borderId="8" xfId="1"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2" fontId="5" fillId="0" borderId="0" xfId="0" applyNumberFormat="1" applyFont="1" applyAlignment="1">
      <alignment horizontal="center" vertical="top" wrapText="1"/>
    </xf>
    <xf numFmtId="2" fontId="6" fillId="0" borderId="1" xfId="1" applyNumberFormat="1" applyFont="1" applyFill="1" applyBorder="1" applyAlignment="1">
      <alignment horizontal="center" vertical="center" wrapText="1"/>
    </xf>
    <xf numFmtId="2" fontId="6"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2" fontId="6" fillId="0" borderId="1" xfId="1" applyNumberFormat="1" applyFont="1" applyFill="1" applyBorder="1" applyAlignment="1">
      <alignment vertical="center" wrapText="1"/>
    </xf>
    <xf numFmtId="2" fontId="5" fillId="0" borderId="1" xfId="0" applyNumberFormat="1" applyFont="1" applyFill="1" applyBorder="1" applyAlignment="1">
      <alignment horizontal="center" vertical="top" wrapText="1"/>
    </xf>
    <xf numFmtId="0" fontId="25" fillId="0" borderId="0" xfId="0" applyFont="1" applyFill="1"/>
    <xf numFmtId="9" fontId="6" fillId="0" borderId="1" xfId="1" applyFont="1" applyFill="1" applyBorder="1" applyAlignment="1">
      <alignment horizontal="center" vertical="center" wrapText="1"/>
    </xf>
    <xf numFmtId="0" fontId="5" fillId="3" borderId="0" xfId="0" applyFont="1" applyFill="1" applyAlignment="1">
      <alignment vertical="top" wrapText="1"/>
    </xf>
    <xf numFmtId="0" fontId="5" fillId="3" borderId="0" xfId="0" applyFont="1" applyFill="1" applyAlignment="1"/>
    <xf numFmtId="0" fontId="3" fillId="3" borderId="0" xfId="0" applyFont="1" applyFill="1" applyAlignment="1">
      <alignment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166" fontId="6" fillId="0" borderId="1" xfId="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2" fontId="5" fillId="0" borderId="1" xfId="0" quotePrefix="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16"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8" xfId="0"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5" fillId="0" borderId="0" xfId="0" applyFont="1" applyFill="1" applyAlignment="1">
      <alignment horizontal="center" vertical="top" wrapText="1"/>
    </xf>
    <xf numFmtId="2" fontId="6" fillId="0" borderId="1"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2" fontId="5" fillId="0" borderId="0" xfId="0" applyNumberFormat="1" applyFont="1" applyFill="1" applyAlignment="1">
      <alignment horizontal="center" vertical="top" wrapText="1"/>
    </xf>
    <xf numFmtId="10" fontId="5" fillId="0" borderId="1" xfId="0" applyNumberFormat="1" applyFont="1" applyFill="1" applyBorder="1" applyAlignment="1">
      <alignment horizontal="center" vertical="top" wrapText="1"/>
    </xf>
    <xf numFmtId="0" fontId="5" fillId="0" borderId="0" xfId="0" applyFont="1" applyFill="1" applyAlignment="1"/>
    <xf numFmtId="4" fontId="15" fillId="0" borderId="1" xfId="0" applyNumberFormat="1" applyFont="1" applyFill="1" applyBorder="1" applyAlignment="1">
      <alignment horizontal="center"/>
    </xf>
    <xf numFmtId="0" fontId="25" fillId="0" borderId="0" xfId="0" applyFont="1" applyFill="1" applyAlignment="1">
      <alignment vertical="top"/>
    </xf>
    <xf numFmtId="15" fontId="5" fillId="0" borderId="0" xfId="0" applyNumberFormat="1" applyFont="1" applyFill="1" applyAlignment="1">
      <alignment vertical="top" wrapText="1"/>
    </xf>
    <xf numFmtId="0" fontId="16"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8" xfId="0"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5" fillId="0" borderId="0" xfId="0" applyFont="1" applyFill="1" applyAlignment="1">
      <alignment horizontal="center" vertical="top" wrapText="1"/>
    </xf>
    <xf numFmtId="2" fontId="6" fillId="0" borderId="1"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8"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8" xfId="0" applyFont="1" applyFill="1" applyBorder="1" applyAlignment="1">
      <alignment horizontal="left" vertical="top" wrapText="1"/>
    </xf>
    <xf numFmtId="0" fontId="5" fillId="0" borderId="0" xfId="0" applyFont="1" applyFill="1" applyAlignment="1">
      <alignment horizontal="center" vertical="top" wrapText="1"/>
    </xf>
    <xf numFmtId="2" fontId="6" fillId="0" borderId="1"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8" xfId="0" applyFont="1" applyFill="1" applyBorder="1" applyAlignment="1">
      <alignment vertical="center" wrapText="1"/>
    </xf>
    <xf numFmtId="0" fontId="4" fillId="0" borderId="35" xfId="0" applyFont="1" applyFill="1" applyBorder="1" applyAlignment="1">
      <alignment horizontal="center" vertical="top" wrapText="1"/>
    </xf>
    <xf numFmtId="0" fontId="5" fillId="0" borderId="36" xfId="0" applyFont="1" applyFill="1" applyBorder="1" applyAlignment="1">
      <alignment vertical="top" wrapText="1"/>
    </xf>
    <xf numFmtId="0" fontId="6" fillId="0" borderId="1" xfId="0" applyFont="1" applyFill="1" applyBorder="1" applyAlignment="1">
      <alignment horizontal="left" vertical="center"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42" xfId="0" applyFont="1" applyFill="1" applyBorder="1" applyAlignment="1">
      <alignment horizontal="center" vertical="top" wrapText="1"/>
    </xf>
    <xf numFmtId="0" fontId="3" fillId="0" borderId="43" xfId="0" applyFont="1" applyFill="1" applyBorder="1" applyAlignment="1">
      <alignment vertical="top" wrapText="1"/>
    </xf>
    <xf numFmtId="0" fontId="4" fillId="0" borderId="44" xfId="0" applyFont="1" applyFill="1" applyBorder="1" applyAlignment="1">
      <alignment horizontal="center" vertical="top" wrapText="1"/>
    </xf>
    <xf numFmtId="0" fontId="6" fillId="0" borderId="45" xfId="0" applyFont="1" applyFill="1" applyBorder="1" applyAlignment="1">
      <alignment vertical="top" wrapText="1"/>
    </xf>
    <xf numFmtId="0" fontId="6" fillId="0" borderId="46" xfId="0" applyFont="1" applyFill="1" applyBorder="1" applyAlignment="1">
      <alignment vertical="top" wrapText="1"/>
    </xf>
    <xf numFmtId="0" fontId="16"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8" xfId="0"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5" fillId="0" borderId="0" xfId="0" applyFont="1" applyFill="1" applyAlignment="1">
      <alignment horizontal="center" vertical="top" wrapText="1"/>
    </xf>
    <xf numFmtId="0" fontId="6" fillId="0" borderId="3" xfId="0" applyFont="1" applyFill="1" applyBorder="1" applyAlignment="1">
      <alignment horizontal="center" vertical="top" wrapText="1"/>
    </xf>
    <xf numFmtId="43" fontId="6" fillId="0" borderId="1" xfId="2" applyFont="1" applyFill="1" applyBorder="1" applyAlignment="1">
      <alignment horizontal="center" vertical="top" wrapText="1"/>
    </xf>
    <xf numFmtId="0" fontId="6" fillId="0" borderId="18" xfId="0" applyFont="1" applyFill="1" applyBorder="1" applyAlignment="1">
      <alignment horizontal="center" vertical="center" wrapText="1"/>
    </xf>
    <xf numFmtId="43" fontId="5" fillId="0" borderId="1" xfId="2" applyFont="1" applyFill="1" applyBorder="1" applyAlignment="1">
      <alignment horizontal="center" vertical="top" wrapText="1"/>
    </xf>
    <xf numFmtId="10" fontId="5" fillId="0" borderId="1" xfId="1"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vertical="top" wrapText="1"/>
    </xf>
    <xf numFmtId="0" fontId="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8" xfId="0" applyFont="1" applyFill="1" applyBorder="1" applyAlignment="1">
      <alignment horizontal="left" vertical="top" wrapText="1"/>
    </xf>
    <xf numFmtId="0" fontId="5" fillId="0" borderId="0" xfId="0" applyFont="1" applyFill="1" applyAlignment="1">
      <alignment horizontal="center" vertical="top" wrapText="1"/>
    </xf>
    <xf numFmtId="0" fontId="23"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10" fontId="3" fillId="0" borderId="1" xfId="1" quotePrefix="1" applyNumberFormat="1" applyFont="1" applyFill="1" applyBorder="1" applyAlignment="1">
      <alignment horizontal="center" vertical="top" wrapText="1"/>
    </xf>
    <xf numFmtId="0" fontId="18" fillId="0" borderId="0" xfId="0" applyFont="1" applyFill="1" applyAlignment="1">
      <alignment horizontal="center" vertical="top" wrapText="1"/>
    </xf>
    <xf numFmtId="0" fontId="0" fillId="0" borderId="0" xfId="0" applyFill="1" applyAlignment="1">
      <alignment horizontal="center" vertical="top" wrapText="1"/>
    </xf>
    <xf numFmtId="0" fontId="16" fillId="0" borderId="1" xfId="0" applyFont="1" applyFill="1" applyBorder="1" applyAlignment="1">
      <alignment horizontal="center"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6"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5"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7" xfId="0" applyFont="1" applyFill="1" applyBorder="1" applyAlignment="1">
      <alignment horizontal="left" vertical="top" wrapText="1"/>
    </xf>
    <xf numFmtId="0" fontId="8"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6" xfId="0" applyFont="1" applyFill="1" applyBorder="1" applyAlignment="1">
      <alignment horizontal="left" vertical="top" wrapText="1"/>
    </xf>
    <xf numFmtId="2" fontId="5" fillId="0" borderId="8" xfId="0" applyNumberFormat="1" applyFont="1" applyFill="1" applyBorder="1" applyAlignment="1">
      <alignment horizontal="left" vertical="top" wrapText="1"/>
    </xf>
    <xf numFmtId="2" fontId="5" fillId="0" borderId="9" xfId="0" applyNumberFormat="1" applyFont="1" applyFill="1" applyBorder="1" applyAlignment="1">
      <alignment horizontal="left" vertical="top" wrapText="1"/>
    </xf>
    <xf numFmtId="2" fontId="5" fillId="0" borderId="6" xfId="0" applyNumberFormat="1"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13" fillId="0" borderId="1" xfId="0" applyFont="1" applyFill="1" applyBorder="1" applyAlignment="1">
      <alignment horizontal="left"/>
    </xf>
    <xf numFmtId="0" fontId="6" fillId="0" borderId="1" xfId="0" applyFont="1" applyFill="1" applyBorder="1" applyAlignment="1">
      <alignment horizontal="left"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6" xfId="0"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1" xfId="0" applyFont="1" applyFill="1" applyBorder="1" applyAlignment="1">
      <alignment vertical="top"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2" fontId="5" fillId="0" borderId="8" xfId="0" applyNumberFormat="1" applyFont="1" applyFill="1" applyBorder="1" applyAlignment="1">
      <alignment horizontal="left" wrapText="1"/>
    </xf>
    <xf numFmtId="2" fontId="5" fillId="0" borderId="9" xfId="0" applyNumberFormat="1" applyFont="1" applyFill="1" applyBorder="1" applyAlignment="1">
      <alignment horizontal="left" wrapText="1"/>
    </xf>
    <xf numFmtId="2" fontId="5" fillId="0" borderId="6" xfId="0" applyNumberFormat="1" applyFont="1" applyFill="1" applyBorder="1" applyAlignment="1">
      <alignment horizontal="left" wrapText="1"/>
    </xf>
    <xf numFmtId="0" fontId="6" fillId="0" borderId="7" xfId="0" applyFont="1" applyFill="1" applyBorder="1" applyAlignment="1">
      <alignment horizontal="center" vertical="top" wrapText="1"/>
    </xf>
    <xf numFmtId="0" fontId="4" fillId="0" borderId="8" xfId="0" applyFont="1" applyFill="1" applyBorder="1" applyAlignment="1">
      <alignment horizontal="right" vertical="top" wrapText="1"/>
    </xf>
    <xf numFmtId="0" fontId="4" fillId="0" borderId="9" xfId="0" applyFont="1" applyFill="1" applyBorder="1" applyAlignment="1">
      <alignment horizontal="right" vertical="top" wrapText="1"/>
    </xf>
    <xf numFmtId="0" fontId="4" fillId="0" borderId="6" xfId="0" applyFont="1" applyFill="1" applyBorder="1" applyAlignment="1">
      <alignment horizontal="right"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2" fillId="0" borderId="0" xfId="0" applyFont="1" applyFill="1" applyAlignment="1">
      <alignment horizontal="left" vertical="top" wrapText="1"/>
    </xf>
    <xf numFmtId="0" fontId="5" fillId="0" borderId="6" xfId="0" applyFont="1" applyFill="1" applyBorder="1" applyAlignment="1">
      <alignment horizontal="left" vertical="top" wrapText="1"/>
    </xf>
    <xf numFmtId="0" fontId="8" fillId="0" borderId="6" xfId="0" applyFont="1" applyFill="1" applyBorder="1" applyAlignment="1">
      <alignment horizontal="left" vertical="top" wrapText="1"/>
    </xf>
    <xf numFmtId="0" fontId="4" fillId="0" borderId="3" xfId="0" applyFont="1" applyFill="1" applyBorder="1" applyAlignment="1">
      <alignment horizontal="left" vertical="top" wrapText="1"/>
    </xf>
    <xf numFmtId="10" fontId="6" fillId="0" borderId="7" xfId="0" applyNumberFormat="1" applyFont="1" applyFill="1" applyBorder="1" applyAlignment="1">
      <alignment horizontal="center" vertical="top" wrapText="1"/>
    </xf>
    <xf numFmtId="0" fontId="22" fillId="0" borderId="0" xfId="0" applyFont="1" applyFill="1" applyAlignment="1">
      <alignment horizontal="center" vertical="top" wrapText="1"/>
    </xf>
    <xf numFmtId="0" fontId="5" fillId="0" borderId="0" xfId="0" applyFont="1" applyFill="1" applyAlignment="1">
      <alignment horizontal="center"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6"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28" xfId="0" applyFont="1" applyFill="1" applyBorder="1" applyAlignment="1">
      <alignment horizontal="left" vertical="top" wrapText="1"/>
    </xf>
    <xf numFmtId="0" fontId="9"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20" fillId="0" borderId="1" xfId="0" applyFont="1" applyFill="1" applyBorder="1" applyAlignment="1">
      <alignment horizontal="left"/>
    </xf>
    <xf numFmtId="0" fontId="19" fillId="0" borderId="6" xfId="0" applyFont="1" applyFill="1" applyBorder="1" applyAlignment="1">
      <alignment horizontal="left" vertical="top" wrapText="1"/>
    </xf>
    <xf numFmtId="0" fontId="16" fillId="0" borderId="3" xfId="0" applyFont="1" applyFill="1" applyBorder="1" applyAlignment="1">
      <alignment horizontal="center" vertical="top" wrapText="1"/>
    </xf>
    <xf numFmtId="0" fontId="20"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6" xfId="0" applyFont="1" applyFill="1" applyBorder="1" applyAlignment="1">
      <alignment horizontal="left" vertical="top" wrapText="1"/>
    </xf>
    <xf numFmtId="0" fontId="7" fillId="0" borderId="3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6" xfId="0" applyFont="1" applyFill="1" applyBorder="1" applyAlignment="1">
      <alignment horizontal="left" vertical="top" wrapText="1"/>
    </xf>
    <xf numFmtId="2" fontId="5" fillId="0" borderId="4" xfId="0" applyNumberFormat="1" applyFont="1" applyFill="1" applyBorder="1" applyAlignment="1">
      <alignment horizontal="center" wrapText="1"/>
    </xf>
    <xf numFmtId="2" fontId="5" fillId="0" borderId="5" xfId="0" applyNumberFormat="1" applyFont="1" applyFill="1" applyBorder="1" applyAlignment="1">
      <alignment horizontal="center" wrapText="1"/>
    </xf>
    <xf numFmtId="2" fontId="5" fillId="0" borderId="25" xfId="0" applyNumberFormat="1" applyFont="1" applyFill="1" applyBorder="1" applyAlignment="1">
      <alignment horizontal="center" wrapText="1"/>
    </xf>
    <xf numFmtId="2" fontId="5" fillId="0" borderId="29" xfId="0" applyNumberFormat="1" applyFont="1" applyFill="1" applyBorder="1" applyAlignment="1">
      <alignment horizontal="center" wrapText="1"/>
    </xf>
    <xf numFmtId="2" fontId="5" fillId="0" borderId="17" xfId="0" applyNumberFormat="1" applyFont="1" applyFill="1" applyBorder="1" applyAlignment="1">
      <alignment horizontal="center" wrapText="1"/>
    </xf>
    <xf numFmtId="2" fontId="5" fillId="0" borderId="30" xfId="0" applyNumberFormat="1" applyFont="1" applyFill="1" applyBorder="1" applyAlignment="1">
      <alignment horizontal="center"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2" fontId="6" fillId="0" borderId="1" xfId="0" applyNumberFormat="1"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2" fontId="6" fillId="0" borderId="4" xfId="0" applyNumberFormat="1" applyFont="1" applyFill="1" applyBorder="1" applyAlignment="1">
      <alignment horizontal="center" wrapText="1"/>
    </xf>
    <xf numFmtId="2" fontId="6" fillId="0" borderId="5" xfId="0" applyNumberFormat="1" applyFont="1" applyFill="1" applyBorder="1" applyAlignment="1">
      <alignment horizontal="center" wrapText="1"/>
    </xf>
    <xf numFmtId="2" fontId="6" fillId="0" borderId="25" xfId="0" applyNumberFormat="1" applyFont="1" applyFill="1" applyBorder="1" applyAlignment="1">
      <alignment horizontal="center" wrapText="1"/>
    </xf>
    <xf numFmtId="2" fontId="6" fillId="0" borderId="29" xfId="0" applyNumberFormat="1" applyFont="1" applyFill="1" applyBorder="1" applyAlignment="1">
      <alignment horizontal="center" wrapText="1"/>
    </xf>
    <xf numFmtId="2" fontId="6" fillId="0" borderId="17" xfId="0" applyNumberFormat="1" applyFont="1" applyFill="1" applyBorder="1" applyAlignment="1">
      <alignment horizontal="center" wrapText="1"/>
    </xf>
    <xf numFmtId="2" fontId="6" fillId="0" borderId="30" xfId="0" applyNumberFormat="1" applyFont="1" applyFill="1" applyBorder="1" applyAlignment="1">
      <alignment horizontal="center" wrapText="1"/>
    </xf>
    <xf numFmtId="0" fontId="6" fillId="0" borderId="3"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8"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6" fillId="0" borderId="32" xfId="0" applyFont="1" applyFill="1" applyBorder="1" applyAlignment="1">
      <alignment horizontal="center" vertical="top" wrapText="1"/>
    </xf>
    <xf numFmtId="0" fontId="5" fillId="0" borderId="3" xfId="0" applyFont="1" applyFill="1" applyBorder="1" applyAlignment="1">
      <alignment horizontal="left" vertical="center" wrapText="1"/>
    </xf>
    <xf numFmtId="0" fontId="5" fillId="0" borderId="18" xfId="0" applyFont="1" applyFill="1" applyBorder="1" applyAlignment="1">
      <alignment horizontal="left" vertical="center" wrapText="1"/>
    </xf>
    <xf numFmtId="10" fontId="6" fillId="0" borderId="32" xfId="0" applyNumberFormat="1"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0" borderId="1" xfId="0" applyFont="1" applyFill="1" applyBorder="1" applyAlignment="1">
      <alignment horizontal="left" vertical="top" wrapText="1"/>
    </xf>
    <xf numFmtId="0" fontId="19" fillId="0" borderId="31" xfId="0" applyFont="1" applyFill="1" applyBorder="1" applyAlignment="1">
      <alignment horizontal="left" vertical="top" wrapText="1"/>
    </xf>
    <xf numFmtId="0" fontId="6" fillId="0" borderId="33"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4" xfId="0" applyFont="1" applyFill="1" applyBorder="1" applyAlignment="1">
      <alignment horizontal="center" vertical="top" wrapText="1"/>
    </xf>
    <xf numFmtId="2" fontId="5" fillId="0" borderId="8" xfId="0" applyNumberFormat="1" applyFont="1" applyFill="1" applyBorder="1" applyAlignment="1">
      <alignment horizontal="center" vertical="top" wrapText="1"/>
    </xf>
    <xf numFmtId="2" fontId="5" fillId="0" borderId="9" xfId="0" applyNumberFormat="1" applyFont="1" applyFill="1" applyBorder="1" applyAlignment="1">
      <alignment horizontal="center" vertical="top" wrapText="1"/>
    </xf>
    <xf numFmtId="2" fontId="5" fillId="0" borderId="6" xfId="0" applyNumberFormat="1" applyFont="1" applyFill="1" applyBorder="1" applyAlignment="1">
      <alignment horizontal="center" vertical="top" wrapText="1"/>
    </xf>
    <xf numFmtId="2" fontId="26" fillId="0" borderId="1" xfId="0" applyNumberFormat="1" applyFont="1" applyFill="1" applyBorder="1" applyAlignment="1">
      <alignment horizontal="center"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1"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1" xfId="0" quotePrefix="1" applyNumberFormat="1" applyFont="1" applyBorder="1" applyAlignment="1">
      <alignment horizontal="center" vertical="top" wrapText="1"/>
    </xf>
    <xf numFmtId="0" fontId="5" fillId="0" borderId="1" xfId="0" quotePrefix="1"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topLeftCell="A47" workbookViewId="0">
      <selection activeCell="B49" sqref="B49"/>
    </sheetView>
  </sheetViews>
  <sheetFormatPr defaultColWidth="8.85546875" defaultRowHeight="15" x14ac:dyDescent="0.25"/>
  <cols>
    <col min="1" max="1" width="8.85546875" style="3"/>
    <col min="2" max="2" width="38" style="3" customWidth="1"/>
    <col min="3" max="3" width="16.28515625" style="3" customWidth="1"/>
    <col min="4" max="4" width="18.7109375" style="3" customWidth="1"/>
    <col min="5" max="5" width="22.28515625" style="3" customWidth="1"/>
    <col min="6" max="6" width="19.85546875" style="3" customWidth="1"/>
    <col min="7" max="7" width="22.28515625" style="3" customWidth="1"/>
    <col min="8" max="16384" width="8.85546875" style="3"/>
  </cols>
  <sheetData>
    <row r="1" spans="1:25" ht="14.45" customHeight="1" x14ac:dyDescent="0.25">
      <c r="A1" s="369" t="s">
        <v>0</v>
      </c>
      <c r="B1" s="369"/>
      <c r="C1" s="1"/>
      <c r="D1" s="2"/>
      <c r="E1" s="1"/>
      <c r="F1" s="1"/>
      <c r="G1" s="1"/>
      <c r="H1" s="1"/>
      <c r="I1" s="1"/>
      <c r="J1" s="1"/>
      <c r="K1" s="1"/>
      <c r="L1" s="1"/>
      <c r="M1" s="1"/>
      <c r="N1" s="1"/>
    </row>
    <row r="2" spans="1:25" x14ac:dyDescent="0.25">
      <c r="A2" s="1"/>
      <c r="B2" s="1"/>
      <c r="C2" s="1"/>
      <c r="D2" s="1"/>
      <c r="E2" s="1"/>
      <c r="F2" s="1"/>
      <c r="G2" s="1"/>
      <c r="H2" s="1"/>
      <c r="I2" s="1"/>
      <c r="J2" s="1"/>
      <c r="K2" s="1"/>
      <c r="L2" s="1"/>
      <c r="M2" s="1"/>
      <c r="N2" s="1"/>
    </row>
    <row r="3" spans="1:25" ht="19.149999999999999" customHeight="1" x14ac:dyDescent="0.25">
      <c r="A3" s="4" t="s">
        <v>1</v>
      </c>
      <c r="B3" s="5" t="s">
        <v>2</v>
      </c>
      <c r="C3" s="6" t="s">
        <v>3</v>
      </c>
      <c r="D3" s="1"/>
      <c r="E3" s="1"/>
      <c r="F3" s="1"/>
      <c r="G3" s="1"/>
      <c r="H3" s="1"/>
      <c r="I3" s="7"/>
      <c r="J3" s="7"/>
      <c r="K3" s="7"/>
      <c r="L3" s="7"/>
      <c r="M3" s="7"/>
      <c r="N3" s="7"/>
      <c r="O3" s="8"/>
      <c r="P3" s="8"/>
      <c r="Q3" s="8"/>
      <c r="R3" s="8"/>
      <c r="S3" s="8"/>
      <c r="T3" s="8"/>
      <c r="U3" s="8"/>
      <c r="V3" s="8"/>
      <c r="W3" s="8"/>
      <c r="X3" s="8"/>
      <c r="Y3" s="8"/>
    </row>
    <row r="4" spans="1:25" x14ac:dyDescent="0.25">
      <c r="A4" s="1"/>
      <c r="B4" s="1"/>
      <c r="C4" s="1"/>
      <c r="D4" s="9"/>
      <c r="E4" s="1"/>
      <c r="F4" s="7"/>
      <c r="G4" s="7"/>
      <c r="H4" s="7"/>
      <c r="I4" s="7"/>
      <c r="J4" s="7"/>
      <c r="K4" s="7"/>
      <c r="L4" s="7"/>
      <c r="M4" s="7"/>
      <c r="N4" s="7"/>
      <c r="O4" s="8"/>
      <c r="P4" s="8"/>
      <c r="Q4" s="8"/>
      <c r="R4" s="8"/>
      <c r="S4" s="8"/>
      <c r="T4" s="8"/>
      <c r="U4" s="8"/>
      <c r="V4" s="8"/>
      <c r="W4" s="8"/>
      <c r="X4" s="8"/>
      <c r="Y4" s="8"/>
    </row>
    <row r="5" spans="1:25" ht="21" customHeight="1" x14ac:dyDescent="0.25">
      <c r="A5" s="10">
        <v>1</v>
      </c>
      <c r="B5" s="11" t="s">
        <v>4</v>
      </c>
      <c r="C5" s="324" t="s">
        <v>5</v>
      </c>
      <c r="D5" s="325"/>
      <c r="E5" s="370"/>
      <c r="F5" s="12"/>
      <c r="G5" s="12"/>
      <c r="H5" s="12"/>
      <c r="I5" s="12"/>
      <c r="J5" s="12"/>
      <c r="K5" s="12"/>
      <c r="L5" s="12"/>
      <c r="M5" s="12"/>
      <c r="N5" s="12"/>
    </row>
    <row r="6" spans="1:25" ht="15" customHeight="1" x14ac:dyDescent="0.25">
      <c r="A6" s="13"/>
      <c r="B6" s="331" t="s">
        <v>6</v>
      </c>
      <c r="C6" s="331"/>
      <c r="D6" s="331"/>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8</v>
      </c>
      <c r="D8" s="9"/>
      <c r="E8" s="12"/>
      <c r="F8" s="12"/>
      <c r="G8" s="12"/>
      <c r="H8" s="12"/>
      <c r="I8" s="12"/>
      <c r="J8" s="12"/>
      <c r="K8" s="12"/>
      <c r="L8" s="12"/>
      <c r="M8" s="12"/>
      <c r="N8" s="12"/>
    </row>
    <row r="9" spans="1:25" ht="16.149999999999999" customHeight="1" x14ac:dyDescent="0.25">
      <c r="A9" s="13"/>
      <c r="B9" s="331" t="s">
        <v>6</v>
      </c>
      <c r="C9" s="331"/>
      <c r="D9" s="331"/>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1"/>
      <c r="G11" s="1"/>
      <c r="H11" s="1"/>
      <c r="I11" s="1"/>
      <c r="J11" s="1"/>
      <c r="K11" s="1"/>
      <c r="L11" s="1"/>
      <c r="M11" s="1"/>
      <c r="N11" s="1"/>
    </row>
    <row r="12" spans="1:25" ht="17.45" customHeight="1" x14ac:dyDescent="0.25">
      <c r="A12" s="13"/>
      <c r="B12" s="331" t="s">
        <v>6</v>
      </c>
      <c r="C12" s="331"/>
      <c r="D12" s="331"/>
      <c r="E12" s="14"/>
      <c r="F12" s="1"/>
      <c r="G12" s="1"/>
      <c r="H12" s="1"/>
      <c r="I12" s="1"/>
      <c r="J12" s="1"/>
      <c r="K12" s="1"/>
      <c r="L12" s="1"/>
      <c r="M12" s="1"/>
      <c r="N12" s="1"/>
    </row>
    <row r="13" spans="1:25" x14ac:dyDescent="0.25">
      <c r="A13" s="13"/>
      <c r="B13" s="15"/>
      <c r="C13" s="12"/>
      <c r="D13" s="9"/>
      <c r="E13" s="1"/>
      <c r="F13" s="1"/>
      <c r="G13" s="1"/>
      <c r="H13" s="1"/>
      <c r="I13" s="1"/>
      <c r="J13" s="1"/>
      <c r="K13" s="1"/>
      <c r="L13" s="1"/>
      <c r="M13" s="1"/>
      <c r="N13" s="1"/>
    </row>
    <row r="14" spans="1:25" ht="30.6" customHeight="1" x14ac:dyDescent="0.25">
      <c r="A14" s="13">
        <v>4</v>
      </c>
      <c r="B14" s="5" t="s">
        <v>11</v>
      </c>
      <c r="C14" s="6" t="s">
        <v>12</v>
      </c>
      <c r="D14" s="9"/>
      <c r="E14" s="1"/>
      <c r="F14" s="1"/>
      <c r="G14" s="1"/>
      <c r="H14" s="1"/>
      <c r="I14" s="1"/>
      <c r="J14" s="1"/>
      <c r="K14" s="1"/>
      <c r="L14" s="1"/>
      <c r="M14" s="1"/>
      <c r="N14" s="1"/>
    </row>
    <row r="15" spans="1:25" ht="14.45" customHeight="1" x14ac:dyDescent="0.25">
      <c r="A15" s="13"/>
      <c r="B15" s="320" t="s">
        <v>13</v>
      </c>
      <c r="C15" s="371"/>
      <c r="D15" s="9"/>
      <c r="E15" s="1"/>
      <c r="F15" s="7"/>
      <c r="G15" s="1"/>
      <c r="H15" s="1"/>
      <c r="I15" s="1"/>
      <c r="J15" s="1"/>
      <c r="K15" s="1"/>
      <c r="L15" s="1"/>
      <c r="M15" s="1"/>
      <c r="N15" s="1"/>
    </row>
    <row r="16" spans="1:25" x14ac:dyDescent="0.25">
      <c r="A16" s="13"/>
      <c r="B16" s="1"/>
      <c r="C16" s="12"/>
      <c r="D16" s="9"/>
      <c r="E16" s="1"/>
      <c r="F16" s="1"/>
      <c r="G16" s="1"/>
      <c r="H16" s="1"/>
      <c r="I16" s="1"/>
      <c r="J16" s="1"/>
      <c r="K16" s="1"/>
      <c r="L16" s="1"/>
      <c r="M16" s="1"/>
      <c r="N16" s="1"/>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17</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ht="15" customHeight="1" x14ac:dyDescent="0.25">
      <c r="A22" s="13"/>
      <c r="B22" s="20" t="s">
        <v>20</v>
      </c>
      <c r="C22" s="363" t="s">
        <v>16</v>
      </c>
      <c r="D22" s="363"/>
      <c r="E22" s="363"/>
      <c r="F22" s="19"/>
      <c r="G22" s="17"/>
      <c r="H22" s="17"/>
      <c r="I22" s="17"/>
      <c r="J22" s="17"/>
      <c r="K22" s="17"/>
      <c r="L22" s="17"/>
      <c r="M22" s="17"/>
      <c r="N22" s="17"/>
    </row>
    <row r="23" spans="1:14" x14ac:dyDescent="0.25">
      <c r="A23" s="13"/>
      <c r="B23" s="331" t="s">
        <v>21</v>
      </c>
      <c r="C23" s="331"/>
      <c r="D23" s="331"/>
      <c r="E23" s="331"/>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1"/>
      <c r="L26" s="1"/>
      <c r="M26" s="1"/>
      <c r="N26" s="1"/>
    </row>
    <row r="27" spans="1:14" x14ac:dyDescent="0.25">
      <c r="A27" s="13"/>
      <c r="B27" s="364" t="s">
        <v>23</v>
      </c>
      <c r="C27" s="365"/>
      <c r="D27" s="365"/>
      <c r="E27" s="366"/>
      <c r="F27" s="19"/>
      <c r="G27" s="1"/>
      <c r="H27" s="1"/>
      <c r="I27" s="1"/>
      <c r="J27" s="1"/>
      <c r="K27" s="1"/>
      <c r="L27" s="1"/>
      <c r="M27" s="1"/>
      <c r="N27" s="1"/>
    </row>
    <row r="28" spans="1:14" x14ac:dyDescent="0.25">
      <c r="A28" s="13"/>
      <c r="B28" s="21" t="s">
        <v>24</v>
      </c>
      <c r="C28" s="22" t="s">
        <v>25</v>
      </c>
      <c r="D28" s="22" t="s">
        <v>26</v>
      </c>
      <c r="E28" s="22" t="s">
        <v>27</v>
      </c>
      <c r="F28" s="19"/>
      <c r="G28" s="1"/>
      <c r="H28" s="1"/>
      <c r="I28" s="1"/>
      <c r="J28" s="1"/>
      <c r="K28" s="1"/>
      <c r="L28" s="1"/>
      <c r="M28" s="1"/>
      <c r="N28" s="1"/>
    </row>
    <row r="29" spans="1:14" x14ac:dyDescent="0.25">
      <c r="A29" s="13"/>
      <c r="B29" s="23" t="s">
        <v>28</v>
      </c>
      <c r="C29" s="24">
        <v>6922.39</v>
      </c>
      <c r="D29" s="24">
        <v>4820.3900000000003</v>
      </c>
      <c r="E29" s="25">
        <v>1029.49</v>
      </c>
      <c r="F29" s="19"/>
      <c r="G29" s="1"/>
      <c r="H29" s="1"/>
      <c r="I29" s="1"/>
      <c r="J29" s="1"/>
      <c r="K29" s="1"/>
      <c r="L29" s="1"/>
      <c r="M29" s="1"/>
      <c r="N29" s="1"/>
    </row>
    <row r="30" spans="1:14" x14ac:dyDescent="0.25">
      <c r="A30" s="13"/>
      <c r="B30" s="23" t="s">
        <v>29</v>
      </c>
      <c r="C30" s="24">
        <v>14.26</v>
      </c>
      <c r="D30" s="24">
        <v>13</v>
      </c>
      <c r="E30" s="25">
        <v>2.85</v>
      </c>
      <c r="F30" s="19"/>
      <c r="G30" s="1"/>
      <c r="H30" s="1"/>
      <c r="I30" s="1"/>
      <c r="J30" s="1"/>
      <c r="K30" s="1"/>
      <c r="L30" s="1"/>
      <c r="M30" s="1"/>
      <c r="N30" s="1"/>
    </row>
    <row r="31" spans="1:14" x14ac:dyDescent="0.25">
      <c r="A31" s="13"/>
      <c r="B31" s="23" t="s">
        <v>30</v>
      </c>
      <c r="C31" s="24">
        <v>685</v>
      </c>
      <c r="D31" s="24">
        <v>685</v>
      </c>
      <c r="E31" s="25">
        <v>685</v>
      </c>
      <c r="F31" s="19"/>
      <c r="G31" s="1"/>
      <c r="H31" s="1"/>
      <c r="I31" s="1"/>
      <c r="J31" s="1"/>
      <c r="K31" s="1"/>
      <c r="L31" s="1"/>
      <c r="M31" s="1"/>
      <c r="N31" s="1"/>
    </row>
    <row r="32" spans="1:14" x14ac:dyDescent="0.25">
      <c r="A32" s="13"/>
      <c r="B32" s="23" t="s">
        <v>31</v>
      </c>
      <c r="C32" s="24">
        <v>2362.36</v>
      </c>
      <c r="D32" s="24">
        <v>2375.33</v>
      </c>
      <c r="E32" s="25">
        <v>2379.73</v>
      </c>
      <c r="F32" s="19"/>
      <c r="G32" s="1"/>
      <c r="H32" s="1"/>
      <c r="I32" s="1"/>
      <c r="J32" s="1"/>
      <c r="K32" s="1"/>
      <c r="L32" s="1"/>
      <c r="M32" s="1"/>
      <c r="N32" s="1"/>
    </row>
    <row r="33" spans="1:14" x14ac:dyDescent="0.25">
      <c r="A33" s="13"/>
      <c r="B33" s="320" t="s">
        <v>32</v>
      </c>
      <c r="C33" s="321"/>
      <c r="D33" s="321"/>
      <c r="E33" s="322"/>
      <c r="F33" s="19"/>
      <c r="G33" s="1"/>
      <c r="H33" s="1"/>
      <c r="I33" s="1"/>
      <c r="J33" s="1"/>
      <c r="K33" s="1"/>
      <c r="L33" s="1"/>
      <c r="M33" s="1"/>
      <c r="N33" s="1"/>
    </row>
    <row r="34" spans="1:14" x14ac:dyDescent="0.25">
      <c r="A34" s="13"/>
      <c r="B34" s="17"/>
      <c r="C34" s="19"/>
      <c r="D34" s="19"/>
      <c r="E34" s="19"/>
      <c r="F34" s="19"/>
      <c r="G34" s="1"/>
      <c r="H34" s="1"/>
      <c r="I34" s="1"/>
      <c r="J34" s="1"/>
      <c r="K34" s="1"/>
      <c r="L34" s="1"/>
      <c r="M34" s="1"/>
      <c r="N34" s="1"/>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367" t="s">
        <v>35</v>
      </c>
      <c r="D36" s="367"/>
      <c r="E36" s="367"/>
      <c r="F36" s="17"/>
      <c r="G36" s="1"/>
      <c r="H36" s="1"/>
      <c r="I36" s="1"/>
      <c r="J36" s="1"/>
      <c r="K36" s="1"/>
      <c r="L36" s="1"/>
      <c r="M36" s="1"/>
      <c r="N36" s="1"/>
    </row>
    <row r="37" spans="1:14" x14ac:dyDescent="0.25">
      <c r="A37" s="13"/>
      <c r="B37" s="21" t="s">
        <v>36</v>
      </c>
      <c r="C37" s="367" t="s">
        <v>35</v>
      </c>
      <c r="D37" s="367"/>
      <c r="E37" s="367"/>
      <c r="F37" s="17"/>
      <c r="G37" s="1"/>
      <c r="H37" s="1"/>
      <c r="I37" s="1"/>
      <c r="J37" s="1"/>
      <c r="K37" s="1"/>
      <c r="L37" s="1"/>
      <c r="M37" s="1"/>
      <c r="N37" s="1"/>
    </row>
    <row r="38" spans="1:14" ht="15" customHeight="1" x14ac:dyDescent="0.25">
      <c r="A38" s="13"/>
      <c r="B38" s="27" t="s">
        <v>37</v>
      </c>
      <c r="C38" s="367" t="s">
        <v>35</v>
      </c>
      <c r="D38" s="367"/>
      <c r="E38" s="367"/>
      <c r="F38" s="17"/>
      <c r="G38" s="1"/>
      <c r="H38" s="1"/>
      <c r="I38" s="1"/>
      <c r="J38" s="1"/>
      <c r="K38" s="1"/>
      <c r="L38" s="1"/>
      <c r="M38" s="1"/>
      <c r="N38" s="1"/>
    </row>
    <row r="39" spans="1:14" x14ac:dyDescent="0.25">
      <c r="A39" s="13"/>
      <c r="B39" s="368" t="s">
        <v>21</v>
      </c>
      <c r="C39" s="368"/>
      <c r="D39" s="368"/>
      <c r="E39" s="368"/>
      <c r="F39" s="17"/>
      <c r="G39" s="1"/>
      <c r="H39" s="1"/>
      <c r="I39" s="1"/>
      <c r="J39" s="1"/>
      <c r="K39" s="1"/>
      <c r="L39" s="1"/>
      <c r="M39" s="1"/>
      <c r="N39" s="1"/>
    </row>
    <row r="40" spans="1:14" x14ac:dyDescent="0.25">
      <c r="A40" s="13"/>
      <c r="B40" s="8"/>
      <c r="C40" s="17"/>
      <c r="D40" s="17"/>
      <c r="E40" s="17"/>
      <c r="F40" s="17"/>
      <c r="G40" s="1"/>
      <c r="H40" s="1"/>
      <c r="I40" s="1"/>
      <c r="J40" s="1"/>
      <c r="K40" s="1"/>
      <c r="L40" s="1"/>
      <c r="M40" s="1"/>
      <c r="N40" s="1"/>
    </row>
    <row r="41" spans="1:14" x14ac:dyDescent="0.25">
      <c r="A41" s="13"/>
      <c r="B41" s="19"/>
      <c r="C41" s="17"/>
      <c r="D41" s="17"/>
      <c r="E41" s="17"/>
      <c r="F41" s="17"/>
      <c r="G41" s="1"/>
      <c r="H41" s="1"/>
      <c r="I41" s="1"/>
      <c r="J41" s="1"/>
      <c r="K41" s="1"/>
      <c r="L41" s="1"/>
      <c r="M41" s="1"/>
      <c r="N41" s="1"/>
    </row>
    <row r="42" spans="1:14" x14ac:dyDescent="0.25">
      <c r="A42" s="13">
        <v>8</v>
      </c>
      <c r="B42" s="333" t="s">
        <v>38</v>
      </c>
      <c r="C42" s="333"/>
      <c r="D42" s="333"/>
      <c r="E42" s="333"/>
      <c r="F42" s="15"/>
      <c r="G42" s="15"/>
      <c r="H42" s="15"/>
      <c r="I42" s="15"/>
      <c r="J42" s="15"/>
      <c r="K42" s="1"/>
      <c r="L42" s="1"/>
      <c r="M42" s="1"/>
      <c r="N42" s="1"/>
    </row>
    <row r="43" spans="1:14" x14ac:dyDescent="0.25">
      <c r="A43" s="13"/>
      <c r="B43" s="21" t="s">
        <v>39</v>
      </c>
      <c r="C43" s="350" t="s">
        <v>16</v>
      </c>
      <c r="D43" s="351"/>
      <c r="E43" s="352"/>
      <c r="F43" s="17"/>
      <c r="G43" s="1"/>
      <c r="H43" s="1"/>
      <c r="I43" s="1"/>
      <c r="J43" s="1"/>
      <c r="K43" s="1"/>
      <c r="L43" s="1"/>
      <c r="M43" s="1"/>
      <c r="N43" s="1"/>
    </row>
    <row r="44" spans="1:14" x14ac:dyDescent="0.25">
      <c r="A44" s="13"/>
      <c r="B44" s="21" t="s">
        <v>36</v>
      </c>
      <c r="C44" s="350" t="s">
        <v>16</v>
      </c>
      <c r="D44" s="351"/>
      <c r="E44" s="352"/>
      <c r="F44" s="17"/>
      <c r="G44" s="1"/>
      <c r="H44" s="1"/>
      <c r="I44" s="1"/>
      <c r="J44" s="1"/>
      <c r="K44" s="1"/>
      <c r="L44" s="1"/>
      <c r="M44" s="1"/>
      <c r="N44" s="1"/>
    </row>
    <row r="45" spans="1:14" ht="15" customHeight="1" x14ac:dyDescent="0.25">
      <c r="A45" s="13"/>
      <c r="B45" s="21" t="s">
        <v>37</v>
      </c>
      <c r="C45" s="350" t="s">
        <v>16</v>
      </c>
      <c r="D45" s="351"/>
      <c r="E45" s="352"/>
      <c r="F45" s="17"/>
      <c r="G45" s="1"/>
      <c r="H45" s="1"/>
      <c r="I45" s="1"/>
      <c r="J45" s="1"/>
      <c r="K45" s="1"/>
      <c r="L45" s="1"/>
      <c r="M45" s="1"/>
      <c r="N45" s="1"/>
    </row>
    <row r="46" spans="1:14" x14ac:dyDescent="0.25">
      <c r="A46" s="13"/>
      <c r="B46" s="353" t="s">
        <v>40</v>
      </c>
      <c r="C46" s="354"/>
      <c r="D46" s="354"/>
      <c r="E46" s="355"/>
      <c r="F46" s="17"/>
      <c r="G46" s="1"/>
      <c r="H46" s="1"/>
      <c r="I46" s="1"/>
      <c r="J46" s="1"/>
      <c r="K46" s="1"/>
      <c r="L46" s="1"/>
      <c r="M46" s="1"/>
      <c r="N46" s="1"/>
    </row>
    <row r="47" spans="1:14" x14ac:dyDescent="0.25">
      <c r="A47" s="4"/>
      <c r="B47" s="12"/>
      <c r="C47" s="12"/>
      <c r="D47" s="28"/>
      <c r="E47" s="17"/>
      <c r="F47" s="1"/>
      <c r="G47" s="1"/>
      <c r="H47" s="1"/>
      <c r="I47" s="1"/>
      <c r="J47" s="1"/>
      <c r="K47" s="1"/>
      <c r="L47" s="1"/>
      <c r="M47" s="1"/>
      <c r="N47" s="1"/>
    </row>
    <row r="48" spans="1:14" x14ac:dyDescent="0.25">
      <c r="A48" s="29">
        <v>9</v>
      </c>
      <c r="B48" s="340" t="s">
        <v>41</v>
      </c>
      <c r="C48" s="333"/>
      <c r="D48" s="333"/>
      <c r="E48" s="333"/>
      <c r="F48" s="30"/>
      <c r="G48" s="15"/>
      <c r="H48" s="15"/>
      <c r="I48" s="15"/>
      <c r="J48" s="1"/>
      <c r="K48" s="1"/>
      <c r="L48" s="1"/>
      <c r="M48" s="1"/>
    </row>
    <row r="49" spans="1:14" ht="25.5" x14ac:dyDescent="0.25">
      <c r="A49" s="29"/>
      <c r="B49" s="31" t="s">
        <v>42</v>
      </c>
      <c r="C49" s="32" t="s">
        <v>43</v>
      </c>
      <c r="D49" s="33" t="s">
        <v>44</v>
      </c>
      <c r="E49" s="32" t="s">
        <v>45</v>
      </c>
      <c r="F49" s="26"/>
      <c r="G49" s="26"/>
      <c r="H49" s="26"/>
      <c r="I49" s="26"/>
      <c r="J49" s="1"/>
      <c r="K49" s="1"/>
      <c r="L49" s="1"/>
      <c r="M49" s="1"/>
    </row>
    <row r="50" spans="1:14" ht="102" x14ac:dyDescent="0.25">
      <c r="A50" s="34"/>
      <c r="B50" s="35" t="s">
        <v>46</v>
      </c>
      <c r="C50" s="35" t="s">
        <v>47</v>
      </c>
      <c r="D50" s="35" t="s">
        <v>47</v>
      </c>
      <c r="E50" s="6" t="s">
        <v>48</v>
      </c>
      <c r="F50" s="26"/>
      <c r="G50" s="1"/>
      <c r="H50" s="1"/>
      <c r="I50" s="1"/>
      <c r="J50" s="1"/>
      <c r="K50" s="1"/>
      <c r="L50" s="1"/>
      <c r="M50" s="1"/>
    </row>
    <row r="51" spans="1:14" x14ac:dyDescent="0.25">
      <c r="A51" s="36"/>
      <c r="B51" s="345"/>
      <c r="C51" s="346"/>
      <c r="D51" s="346"/>
      <c r="E51" s="347"/>
      <c r="F51" s="19"/>
      <c r="G51" s="19"/>
      <c r="H51" s="19"/>
      <c r="I51" s="1"/>
      <c r="J51" s="1"/>
      <c r="K51" s="1"/>
      <c r="L51" s="1"/>
      <c r="M51" s="1"/>
    </row>
    <row r="52" spans="1:14" x14ac:dyDescent="0.25">
      <c r="A52" s="37"/>
      <c r="B52" s="38"/>
      <c r="C52" s="28"/>
      <c r="D52" s="28"/>
      <c r="E52" s="28"/>
      <c r="F52" s="19"/>
      <c r="G52" s="19"/>
      <c r="H52" s="19"/>
      <c r="I52" s="19"/>
      <c r="J52" s="1"/>
      <c r="K52" s="1"/>
      <c r="L52" s="1"/>
      <c r="M52" s="1"/>
      <c r="N52" s="1"/>
    </row>
    <row r="53" spans="1:14" x14ac:dyDescent="0.25">
      <c r="A53" s="29">
        <v>10</v>
      </c>
      <c r="B53" s="340" t="s">
        <v>49</v>
      </c>
      <c r="C53" s="356"/>
      <c r="D53" s="356"/>
      <c r="E53" s="356"/>
      <c r="F53" s="19"/>
      <c r="G53" s="19"/>
      <c r="H53" s="19"/>
      <c r="I53" s="1"/>
      <c r="J53" s="1"/>
      <c r="K53" s="1"/>
      <c r="L53" s="1"/>
      <c r="M53" s="1"/>
    </row>
    <row r="54" spans="1:14" x14ac:dyDescent="0.2">
      <c r="A54" s="34"/>
      <c r="B54" s="357" t="s">
        <v>50</v>
      </c>
      <c r="C54" s="360" t="s">
        <v>51</v>
      </c>
      <c r="D54" s="361"/>
      <c r="E54" s="362"/>
      <c r="F54" s="1"/>
      <c r="G54" s="1"/>
      <c r="H54" s="1"/>
      <c r="I54" s="1"/>
      <c r="J54" s="1"/>
      <c r="K54" s="2"/>
      <c r="L54" s="1"/>
      <c r="M54" s="1"/>
    </row>
    <row r="55" spans="1:14" x14ac:dyDescent="0.25">
      <c r="A55" s="29"/>
      <c r="B55" s="358"/>
      <c r="C55" s="341" t="s">
        <v>52</v>
      </c>
      <c r="D55" s="342"/>
      <c r="E55" s="343"/>
      <c r="F55" s="1"/>
      <c r="G55" s="1"/>
      <c r="H55" s="1"/>
      <c r="I55" s="1"/>
      <c r="J55" s="1"/>
      <c r="K55" s="2"/>
      <c r="L55" s="1"/>
      <c r="M55" s="1"/>
    </row>
    <row r="56" spans="1:14" x14ac:dyDescent="0.25">
      <c r="A56" s="34"/>
      <c r="B56" s="359"/>
      <c r="C56" s="341" t="s">
        <v>53</v>
      </c>
      <c r="D56" s="342"/>
      <c r="E56" s="343"/>
      <c r="F56" s="1"/>
      <c r="G56" s="1"/>
      <c r="H56" s="1"/>
      <c r="I56" s="1"/>
      <c r="J56" s="1"/>
      <c r="K56" s="2"/>
      <c r="L56" s="1"/>
      <c r="M56" s="1"/>
    </row>
    <row r="57" spans="1:14" x14ac:dyDescent="0.2">
      <c r="A57" s="29"/>
      <c r="B57" s="39" t="s">
        <v>54</v>
      </c>
      <c r="C57" s="360" t="s">
        <v>51</v>
      </c>
      <c r="D57" s="361"/>
      <c r="E57" s="362"/>
      <c r="F57" s="1"/>
      <c r="G57" s="1"/>
      <c r="H57" s="1"/>
      <c r="I57" s="1"/>
      <c r="J57" s="1"/>
      <c r="K57" s="12"/>
      <c r="L57" s="1"/>
      <c r="M57" s="1"/>
    </row>
    <row r="58" spans="1:14" x14ac:dyDescent="0.25">
      <c r="A58" s="34"/>
      <c r="B58" s="39"/>
      <c r="C58" s="341" t="s">
        <v>52</v>
      </c>
      <c r="D58" s="342"/>
      <c r="E58" s="343"/>
      <c r="F58" s="1"/>
      <c r="G58" s="1"/>
      <c r="H58" s="1"/>
      <c r="I58" s="1"/>
      <c r="J58" s="1"/>
      <c r="K58" s="12"/>
      <c r="L58" s="1"/>
      <c r="M58" s="1"/>
    </row>
    <row r="59" spans="1:14" x14ac:dyDescent="0.25">
      <c r="A59" s="34"/>
      <c r="B59" s="39"/>
      <c r="C59" s="341" t="s">
        <v>53</v>
      </c>
      <c r="D59" s="342"/>
      <c r="E59" s="343"/>
      <c r="F59" s="1"/>
      <c r="G59" s="1"/>
      <c r="H59" s="1"/>
      <c r="I59" s="1"/>
      <c r="J59" s="1"/>
      <c r="K59" s="12"/>
      <c r="L59" s="1"/>
      <c r="M59" s="1"/>
    </row>
    <row r="60" spans="1:14" x14ac:dyDescent="0.25">
      <c r="A60" s="34"/>
      <c r="B60" s="39" t="s">
        <v>55</v>
      </c>
      <c r="C60" s="344" t="s">
        <v>56</v>
      </c>
      <c r="D60" s="344"/>
      <c r="E60" s="344"/>
      <c r="F60" s="1"/>
      <c r="G60" s="1"/>
      <c r="H60" s="1"/>
      <c r="I60" s="1"/>
      <c r="J60" s="1"/>
      <c r="K60" s="40"/>
      <c r="L60" s="1"/>
      <c r="M60" s="1"/>
    </row>
    <row r="61" spans="1:14" x14ac:dyDescent="0.25">
      <c r="A61" s="34"/>
      <c r="B61" s="345"/>
      <c r="C61" s="346"/>
      <c r="D61" s="346"/>
      <c r="E61" s="347"/>
      <c r="F61" s="1"/>
      <c r="G61" s="1"/>
      <c r="H61" s="1"/>
      <c r="I61" s="1"/>
      <c r="J61" s="1"/>
      <c r="K61" s="40"/>
      <c r="L61" s="1"/>
      <c r="M61" s="1"/>
    </row>
    <row r="62" spans="1:14" s="42" customFormat="1" x14ac:dyDescent="0.25">
      <c r="A62" s="41" t="s">
        <v>57</v>
      </c>
      <c r="B62" s="348" t="s">
        <v>58</v>
      </c>
      <c r="C62" s="348"/>
      <c r="D62" s="348"/>
      <c r="E62" s="348"/>
    </row>
    <row r="63" spans="1:14" x14ac:dyDescent="0.25">
      <c r="A63" s="43"/>
      <c r="B63" s="44"/>
      <c r="C63" s="45"/>
      <c r="D63" s="46"/>
      <c r="E63" s="47"/>
      <c r="F63" s="40"/>
      <c r="G63" s="40"/>
      <c r="H63" s="40"/>
      <c r="I63" s="40"/>
      <c r="J63" s="40"/>
      <c r="K63" s="40"/>
      <c r="L63" s="40"/>
      <c r="M63" s="1"/>
      <c r="N63" s="1"/>
    </row>
    <row r="64" spans="1:14" x14ac:dyDescent="0.25">
      <c r="A64" s="48"/>
      <c r="B64" s="49"/>
      <c r="C64" s="50"/>
      <c r="D64" s="50"/>
      <c r="E64" s="50"/>
      <c r="F64" s="50"/>
      <c r="G64" s="12"/>
      <c r="H64" s="12"/>
      <c r="I64" s="12"/>
      <c r="J64" s="12"/>
      <c r="K64" s="12"/>
      <c r="L64" s="12"/>
      <c r="M64" s="1"/>
      <c r="N64" s="1"/>
    </row>
    <row r="65" spans="1:14" x14ac:dyDescent="0.25">
      <c r="A65" s="13">
        <v>11</v>
      </c>
      <c r="B65" s="5" t="s">
        <v>59</v>
      </c>
      <c r="C65" s="349" t="s">
        <v>60</v>
      </c>
      <c r="D65" s="349"/>
      <c r="E65" s="349"/>
      <c r="F65" s="15"/>
      <c r="G65" s="15"/>
      <c r="H65" s="51"/>
      <c r="I65" s="15"/>
      <c r="J65" s="15"/>
      <c r="K65" s="1"/>
      <c r="L65" s="7"/>
      <c r="M65" s="1"/>
      <c r="N65" s="1"/>
    </row>
    <row r="66" spans="1:14" x14ac:dyDescent="0.25">
      <c r="A66" s="13"/>
      <c r="B66" s="19"/>
      <c r="C66" s="19"/>
      <c r="D66" s="19"/>
      <c r="E66" s="19"/>
      <c r="F66" s="19"/>
      <c r="G66" s="19"/>
      <c r="H66" s="52"/>
      <c r="I66" s="52"/>
      <c r="J66" s="19"/>
      <c r="K66" s="1"/>
      <c r="L66" s="1"/>
      <c r="M66" s="1"/>
      <c r="N66" s="1"/>
    </row>
    <row r="67" spans="1:14" x14ac:dyDescent="0.25">
      <c r="A67" s="13">
        <v>12</v>
      </c>
      <c r="B67" s="15" t="s">
        <v>61</v>
      </c>
      <c r="C67" s="15"/>
      <c r="D67" s="15"/>
      <c r="E67" s="15"/>
      <c r="F67" s="15"/>
      <c r="G67" s="15"/>
      <c r="H67" s="15"/>
      <c r="I67" s="15"/>
      <c r="J67" s="15"/>
      <c r="K67" s="15"/>
      <c r="L67" s="15"/>
      <c r="M67" s="15"/>
      <c r="N67" s="15"/>
    </row>
    <row r="68" spans="1:14" x14ac:dyDescent="0.25">
      <c r="A68" s="13"/>
      <c r="B68" s="15"/>
      <c r="C68" s="15"/>
      <c r="D68" s="15"/>
      <c r="E68" s="15"/>
      <c r="F68" s="15"/>
      <c r="G68" s="15"/>
      <c r="H68" s="15"/>
      <c r="I68" s="15"/>
      <c r="J68" s="15"/>
      <c r="K68" s="15"/>
      <c r="L68" s="15"/>
      <c r="M68" s="15"/>
      <c r="N68" s="15"/>
    </row>
    <row r="69" spans="1:14" x14ac:dyDescent="0.25">
      <c r="A69" s="13"/>
      <c r="B69" s="21" t="s">
        <v>62</v>
      </c>
      <c r="C69" s="23" t="s">
        <v>63</v>
      </c>
      <c r="D69" s="19"/>
      <c r="E69" s="19"/>
      <c r="F69" s="52"/>
      <c r="G69" s="52"/>
      <c r="H69" s="19"/>
      <c r="I69" s="19"/>
      <c r="J69" s="19"/>
      <c r="K69" s="19"/>
      <c r="L69" s="19"/>
      <c r="M69" s="19"/>
      <c r="N69" s="19"/>
    </row>
    <row r="70" spans="1:14" x14ac:dyDescent="0.25">
      <c r="A70" s="13"/>
      <c r="B70" s="19"/>
      <c r="C70" s="19"/>
      <c r="D70" s="19"/>
      <c r="E70" s="19"/>
      <c r="F70" s="19"/>
      <c r="G70" s="19"/>
      <c r="H70" s="19"/>
      <c r="I70" s="19"/>
      <c r="J70" s="19"/>
      <c r="K70" s="19"/>
      <c r="L70" s="19"/>
      <c r="M70" s="19"/>
      <c r="N70" s="19"/>
    </row>
    <row r="71" spans="1:14" x14ac:dyDescent="0.25">
      <c r="A71" s="13"/>
      <c r="B71" s="333" t="s">
        <v>64</v>
      </c>
      <c r="C71" s="334" t="s">
        <v>65</v>
      </c>
      <c r="D71" s="334" t="s">
        <v>66</v>
      </c>
      <c r="E71" s="336" t="s">
        <v>67</v>
      </c>
      <c r="F71" s="327" t="s">
        <v>68</v>
      </c>
      <c r="G71" s="328"/>
      <c r="H71" s="329"/>
      <c r="I71" s="330" t="s">
        <v>69</v>
      </c>
      <c r="J71" s="330"/>
      <c r="K71" s="330"/>
      <c r="L71" s="330" t="s">
        <v>70</v>
      </c>
      <c r="M71" s="330"/>
      <c r="N71" s="330"/>
    </row>
    <row r="72" spans="1:14" ht="38.25" x14ac:dyDescent="0.25">
      <c r="A72" s="4"/>
      <c r="B72" s="333"/>
      <c r="C72" s="335"/>
      <c r="D72" s="335"/>
      <c r="E72" s="337"/>
      <c r="F72" s="21" t="s">
        <v>71</v>
      </c>
      <c r="G72" s="21" t="s">
        <v>72</v>
      </c>
      <c r="H72" s="21" t="s">
        <v>73</v>
      </c>
      <c r="I72" s="21" t="s">
        <v>74</v>
      </c>
      <c r="J72" s="21" t="s">
        <v>72</v>
      </c>
      <c r="K72" s="21" t="s">
        <v>73</v>
      </c>
      <c r="L72" s="21" t="s">
        <v>74</v>
      </c>
      <c r="M72" s="21" t="s">
        <v>72</v>
      </c>
      <c r="N72" s="21" t="s">
        <v>73</v>
      </c>
    </row>
    <row r="73" spans="1:14" x14ac:dyDescent="0.25">
      <c r="A73" s="4"/>
      <c r="B73" s="21" t="s">
        <v>75</v>
      </c>
      <c r="C73" s="53">
        <v>11.81</v>
      </c>
      <c r="D73" s="53">
        <v>15.5</v>
      </c>
      <c r="E73" s="53">
        <v>15</v>
      </c>
      <c r="F73" s="54">
        <v>14</v>
      </c>
      <c r="G73" s="54">
        <v>17.22</v>
      </c>
      <c r="H73" s="53">
        <v>11.25</v>
      </c>
      <c r="I73" s="53">
        <v>24</v>
      </c>
      <c r="J73" s="53">
        <v>25.45</v>
      </c>
      <c r="K73" s="53">
        <v>12.75</v>
      </c>
      <c r="L73" s="53">
        <v>16.75</v>
      </c>
      <c r="M73" s="53">
        <v>27</v>
      </c>
      <c r="N73" s="53">
        <v>12.4</v>
      </c>
    </row>
    <row r="74" spans="1:14" ht="25.5" x14ac:dyDescent="0.2">
      <c r="A74" s="4"/>
      <c r="B74" s="21" t="s">
        <v>76</v>
      </c>
      <c r="C74" s="55">
        <v>27890.13</v>
      </c>
      <c r="D74" s="55">
        <v>27251.1</v>
      </c>
      <c r="E74" s="55">
        <v>27730.21</v>
      </c>
      <c r="F74" s="53">
        <v>25341.86</v>
      </c>
      <c r="G74" s="53">
        <v>29094.61</v>
      </c>
      <c r="H74" s="53">
        <v>22494.61</v>
      </c>
      <c r="I74" s="53">
        <v>29620.5</v>
      </c>
      <c r="J74" s="53">
        <v>29421.4</v>
      </c>
      <c r="K74" s="53">
        <v>27941.51</v>
      </c>
      <c r="L74" s="54">
        <v>32968.68</v>
      </c>
      <c r="M74" s="54">
        <v>36443.980000000003</v>
      </c>
      <c r="N74" s="56">
        <v>29241.48</v>
      </c>
    </row>
    <row r="75" spans="1:14" x14ac:dyDescent="0.2">
      <c r="A75" s="4"/>
      <c r="B75" s="27" t="s">
        <v>77</v>
      </c>
      <c r="C75" s="55">
        <v>760.38</v>
      </c>
      <c r="D75" s="55">
        <v>930.37</v>
      </c>
      <c r="E75" s="55">
        <v>858.64</v>
      </c>
      <c r="F75" s="53">
        <v>767.86</v>
      </c>
      <c r="G75" s="53">
        <v>948</v>
      </c>
      <c r="H75" s="53">
        <v>731.23</v>
      </c>
      <c r="I75" s="54">
        <v>1288.8800000000001</v>
      </c>
      <c r="J75" s="54">
        <v>1292.1199999999999</v>
      </c>
      <c r="K75" s="54">
        <v>1068.31</v>
      </c>
      <c r="L75" s="54" t="s">
        <v>48</v>
      </c>
      <c r="M75" s="54" t="s">
        <v>48</v>
      </c>
      <c r="N75" s="54" t="s">
        <v>48</v>
      </c>
    </row>
    <row r="76" spans="1:14" x14ac:dyDescent="0.25">
      <c r="A76" s="4"/>
      <c r="B76" s="331" t="s">
        <v>78</v>
      </c>
      <c r="C76" s="331"/>
      <c r="D76" s="331"/>
      <c r="E76" s="331"/>
      <c r="F76" s="331"/>
      <c r="G76" s="331"/>
      <c r="H76" s="331"/>
      <c r="I76" s="331"/>
      <c r="J76" s="331"/>
      <c r="K76" s="331"/>
      <c r="L76" s="331"/>
      <c r="M76" s="331"/>
      <c r="N76" s="331"/>
    </row>
    <row r="77" spans="1:14" x14ac:dyDescent="0.25">
      <c r="A77" s="4"/>
      <c r="B77" s="332" t="s">
        <v>21</v>
      </c>
      <c r="C77" s="332"/>
      <c r="D77" s="332"/>
      <c r="E77" s="332"/>
      <c r="F77" s="332"/>
      <c r="G77" s="332"/>
      <c r="H77" s="332"/>
      <c r="I77" s="332"/>
      <c r="J77" s="332"/>
      <c r="K77" s="332"/>
      <c r="L77" s="332"/>
      <c r="M77" s="332"/>
      <c r="N77" s="332"/>
    </row>
    <row r="78" spans="1:14" x14ac:dyDescent="0.25">
      <c r="A78" s="4"/>
      <c r="B78" s="331" t="s">
        <v>79</v>
      </c>
      <c r="C78" s="331"/>
      <c r="D78" s="331"/>
      <c r="E78" s="331"/>
      <c r="F78" s="331"/>
      <c r="G78" s="331"/>
      <c r="H78" s="331"/>
      <c r="I78" s="331"/>
      <c r="J78" s="331"/>
      <c r="K78" s="331"/>
      <c r="L78" s="331"/>
      <c r="M78" s="331"/>
      <c r="N78" s="331"/>
    </row>
    <row r="79" spans="1:14" s="57" customFormat="1" ht="12.75" x14ac:dyDescent="0.25">
      <c r="B79" s="331" t="s">
        <v>80</v>
      </c>
      <c r="C79" s="331"/>
      <c r="D79" s="331"/>
      <c r="E79" s="331"/>
      <c r="F79" s="331"/>
      <c r="G79" s="331"/>
      <c r="H79" s="331"/>
      <c r="I79" s="331"/>
      <c r="J79" s="331"/>
      <c r="K79" s="331"/>
      <c r="L79" s="331"/>
      <c r="M79" s="331"/>
      <c r="N79" s="331"/>
    </row>
    <row r="80" spans="1:14" x14ac:dyDescent="0.25">
      <c r="A80" s="4"/>
      <c r="B80" s="331" t="s">
        <v>81</v>
      </c>
      <c r="C80" s="331"/>
      <c r="D80" s="331"/>
      <c r="E80" s="331"/>
      <c r="F80" s="331"/>
      <c r="G80" s="331"/>
      <c r="H80" s="331"/>
      <c r="I80" s="331"/>
      <c r="J80" s="331"/>
      <c r="K80" s="331"/>
      <c r="L80" s="331"/>
      <c r="M80" s="331"/>
      <c r="N80" s="331"/>
    </row>
    <row r="81" spans="1:14" x14ac:dyDescent="0.25">
      <c r="A81" s="4"/>
      <c r="B81" s="331" t="s">
        <v>82</v>
      </c>
      <c r="C81" s="331"/>
      <c r="D81" s="331"/>
      <c r="E81" s="331"/>
      <c r="F81" s="331"/>
      <c r="G81" s="331"/>
      <c r="H81" s="331"/>
      <c r="I81" s="331"/>
      <c r="J81" s="331"/>
      <c r="K81" s="331"/>
      <c r="L81" s="331"/>
      <c r="M81" s="331"/>
      <c r="N81" s="331"/>
    </row>
    <row r="82" spans="1:14" x14ac:dyDescent="0.25">
      <c r="A82" s="4"/>
      <c r="B82" s="58"/>
      <c r="C82" s="58"/>
      <c r="D82" s="58"/>
      <c r="E82" s="58"/>
      <c r="F82" s="58"/>
      <c r="G82" s="17"/>
      <c r="H82" s="17"/>
      <c r="I82" s="17"/>
      <c r="J82" s="17"/>
      <c r="K82" s="17"/>
      <c r="L82" s="17"/>
      <c r="M82" s="17"/>
      <c r="N82" s="17"/>
    </row>
    <row r="83" spans="1:14" x14ac:dyDescent="0.25">
      <c r="A83" s="13">
        <v>13</v>
      </c>
      <c r="B83" s="338" t="s">
        <v>83</v>
      </c>
      <c r="C83" s="339"/>
      <c r="D83" s="339"/>
      <c r="E83" s="339"/>
      <c r="F83" s="339"/>
      <c r="G83" s="340"/>
      <c r="H83" s="15"/>
      <c r="I83" s="15"/>
      <c r="J83" s="15"/>
      <c r="K83" s="15"/>
      <c r="L83" s="15"/>
      <c r="M83" s="15"/>
      <c r="N83" s="15"/>
    </row>
    <row r="84" spans="1:14" x14ac:dyDescent="0.25">
      <c r="A84" s="13"/>
      <c r="B84" s="1"/>
      <c r="C84" s="19"/>
      <c r="D84" s="19"/>
      <c r="E84" s="19"/>
      <c r="F84" s="19"/>
      <c r="G84" s="19"/>
      <c r="H84" s="19"/>
      <c r="I84" s="19"/>
      <c r="J84" s="19"/>
      <c r="K84" s="19"/>
      <c r="L84" s="19"/>
      <c r="M84" s="19"/>
      <c r="N84" s="19"/>
    </row>
    <row r="85" spans="1:14" ht="76.5" x14ac:dyDescent="0.25">
      <c r="A85" s="4"/>
      <c r="B85" s="59" t="s">
        <v>84</v>
      </c>
      <c r="C85" s="22" t="s">
        <v>85</v>
      </c>
      <c r="D85" s="22" t="s">
        <v>86</v>
      </c>
      <c r="E85" s="22" t="s">
        <v>87</v>
      </c>
      <c r="F85" s="22" t="s">
        <v>88</v>
      </c>
      <c r="G85" s="22" t="s">
        <v>89</v>
      </c>
      <c r="H85" s="17"/>
      <c r="I85" s="17"/>
      <c r="J85" s="17"/>
      <c r="K85" s="17"/>
      <c r="L85" s="17"/>
      <c r="M85" s="17"/>
      <c r="N85" s="17"/>
    </row>
    <row r="86" spans="1:14" ht="25.5" x14ac:dyDescent="0.25">
      <c r="A86" s="4"/>
      <c r="B86" s="316" t="s">
        <v>90</v>
      </c>
      <c r="C86" s="5" t="s">
        <v>91</v>
      </c>
      <c r="D86" s="60">
        <v>0.23</v>
      </c>
      <c r="E86" s="61">
        <v>0.21</v>
      </c>
      <c r="F86" s="61">
        <v>0.21</v>
      </c>
      <c r="G86" s="61">
        <v>0.06</v>
      </c>
      <c r="H86" s="62"/>
      <c r="I86" s="62"/>
      <c r="J86" s="62"/>
      <c r="K86" s="62"/>
      <c r="L86" s="62"/>
      <c r="M86" s="62"/>
      <c r="N86" s="62"/>
    </row>
    <row r="87" spans="1:14" x14ac:dyDescent="0.25">
      <c r="A87" s="4"/>
      <c r="B87" s="316"/>
      <c r="C87" s="5" t="s">
        <v>92</v>
      </c>
      <c r="D87" s="63"/>
      <c r="E87" s="61"/>
      <c r="F87" s="61"/>
      <c r="G87" s="61"/>
      <c r="H87" s="62"/>
      <c r="I87" s="62"/>
      <c r="J87" s="62"/>
      <c r="K87" s="62"/>
      <c r="L87" s="62"/>
      <c r="M87" s="62"/>
      <c r="N87" s="62"/>
    </row>
    <row r="88" spans="1:14" x14ac:dyDescent="0.25">
      <c r="A88" s="4"/>
      <c r="B88" s="316"/>
      <c r="C88" s="5" t="s">
        <v>93</v>
      </c>
      <c r="D88" s="60" t="s">
        <v>48</v>
      </c>
      <c r="E88" s="61" t="s">
        <v>48</v>
      </c>
      <c r="F88" s="61" t="s">
        <v>48</v>
      </c>
      <c r="G88" s="61" t="s">
        <v>48</v>
      </c>
      <c r="H88" s="62"/>
      <c r="I88" s="62"/>
      <c r="J88" s="62"/>
      <c r="K88" s="62"/>
      <c r="L88" s="62"/>
      <c r="M88" s="62"/>
      <c r="N88" s="62"/>
    </row>
    <row r="89" spans="1:14" ht="25.5" x14ac:dyDescent="0.25">
      <c r="A89" s="4"/>
      <c r="B89" s="316" t="s">
        <v>94</v>
      </c>
      <c r="C89" s="5" t="s">
        <v>91</v>
      </c>
      <c r="D89" s="60">
        <v>47.83</v>
      </c>
      <c r="E89" s="61">
        <v>66.67</v>
      </c>
      <c r="F89" s="61">
        <v>114.28</v>
      </c>
      <c r="G89" s="64">
        <f>L73/G86</f>
        <v>279.16666666666669</v>
      </c>
      <c r="H89" s="62"/>
      <c r="I89" s="62"/>
      <c r="J89" s="62"/>
      <c r="K89" s="62"/>
      <c r="L89" s="62"/>
      <c r="M89" s="62"/>
      <c r="N89" s="62"/>
    </row>
    <row r="90" spans="1:14" x14ac:dyDescent="0.25">
      <c r="A90" s="4"/>
      <c r="B90" s="316"/>
      <c r="C90" s="5" t="s">
        <v>92</v>
      </c>
      <c r="D90" s="63"/>
      <c r="E90" s="61"/>
      <c r="F90" s="61"/>
      <c r="G90" s="61"/>
      <c r="H90" s="62"/>
      <c r="I90" s="62"/>
      <c r="J90" s="62"/>
      <c r="K90" s="62"/>
      <c r="L90" s="62"/>
      <c r="M90" s="62"/>
      <c r="N90" s="62"/>
    </row>
    <row r="91" spans="1:14" x14ac:dyDescent="0.25">
      <c r="A91" s="4"/>
      <c r="B91" s="316"/>
      <c r="C91" s="5" t="s">
        <v>93</v>
      </c>
      <c r="D91" s="60" t="s">
        <v>48</v>
      </c>
      <c r="E91" s="61" t="s">
        <v>48</v>
      </c>
      <c r="F91" s="61" t="s">
        <v>48</v>
      </c>
      <c r="G91" s="61" t="s">
        <v>48</v>
      </c>
      <c r="H91" s="62"/>
      <c r="I91" s="62"/>
      <c r="J91" s="62"/>
      <c r="K91" s="62"/>
      <c r="L91" s="62"/>
      <c r="M91" s="62"/>
      <c r="N91" s="62"/>
    </row>
    <row r="92" spans="1:14" ht="25.5" x14ac:dyDescent="0.25">
      <c r="A92" s="4"/>
      <c r="B92" s="316" t="s">
        <v>95</v>
      </c>
      <c r="C92" s="5" t="s">
        <v>91</v>
      </c>
      <c r="D92" s="60">
        <v>0.41</v>
      </c>
      <c r="E92" s="61">
        <v>0.47</v>
      </c>
      <c r="F92" s="61">
        <v>0.46</v>
      </c>
      <c r="G92" s="65">
        <f>440714.81/306473625.52</f>
        <v>1.4380187177680634E-3</v>
      </c>
      <c r="H92" s="62"/>
      <c r="I92" s="62"/>
      <c r="J92" s="62"/>
      <c r="K92" s="62"/>
      <c r="L92" s="62"/>
      <c r="M92" s="62"/>
      <c r="N92" s="62"/>
    </row>
    <row r="93" spans="1:14" x14ac:dyDescent="0.25">
      <c r="A93" s="4"/>
      <c r="B93" s="316"/>
      <c r="C93" s="5" t="s">
        <v>92</v>
      </c>
      <c r="D93" s="63"/>
      <c r="E93" s="61"/>
      <c r="F93" s="61"/>
      <c r="G93" s="61"/>
      <c r="H93" s="62"/>
      <c r="I93" s="62"/>
      <c r="J93" s="62"/>
      <c r="K93" s="62"/>
      <c r="L93" s="62"/>
      <c r="M93" s="62"/>
      <c r="N93" s="62"/>
    </row>
    <row r="94" spans="1:14" x14ac:dyDescent="0.25">
      <c r="A94" s="4"/>
      <c r="B94" s="316"/>
      <c r="C94" s="5" t="s">
        <v>93</v>
      </c>
      <c r="D94" s="60" t="s">
        <v>48</v>
      </c>
      <c r="E94" s="61" t="s">
        <v>48</v>
      </c>
      <c r="F94" s="61" t="s">
        <v>48</v>
      </c>
      <c r="G94" s="61" t="s">
        <v>48</v>
      </c>
      <c r="H94" s="62"/>
      <c r="I94" s="62"/>
      <c r="J94" s="62"/>
      <c r="K94" s="66"/>
      <c r="L94" s="62"/>
      <c r="M94" s="62"/>
      <c r="N94" s="62"/>
    </row>
    <row r="95" spans="1:14" ht="25.5" x14ac:dyDescent="0.25">
      <c r="A95" s="4"/>
      <c r="B95" s="67" t="s">
        <v>96</v>
      </c>
      <c r="C95" s="5" t="s">
        <v>91</v>
      </c>
      <c r="D95" s="60">
        <v>55.97</v>
      </c>
      <c r="E95" s="61">
        <v>44.48</v>
      </c>
      <c r="F95" s="61">
        <v>44.68</v>
      </c>
      <c r="G95" s="68">
        <f>306473625.52/6850000</f>
        <v>44.740675258394155</v>
      </c>
      <c r="H95" s="62"/>
      <c r="I95" s="62"/>
      <c r="J95" s="62"/>
      <c r="K95" s="62"/>
      <c r="L95" s="62"/>
      <c r="M95" s="62"/>
      <c r="N95" s="62"/>
    </row>
    <row r="96" spans="1:14" x14ac:dyDescent="0.25">
      <c r="A96" s="4"/>
      <c r="B96" s="69"/>
      <c r="C96" s="5" t="s">
        <v>92</v>
      </c>
      <c r="D96" s="63"/>
      <c r="E96" s="61"/>
      <c r="F96" s="61"/>
      <c r="G96" s="61"/>
      <c r="H96" s="62"/>
      <c r="I96" s="62"/>
      <c r="J96" s="62"/>
      <c r="K96" s="62"/>
      <c r="L96" s="62"/>
      <c r="M96" s="62"/>
      <c r="N96" s="62"/>
    </row>
    <row r="97" spans="1:14" x14ac:dyDescent="0.25">
      <c r="A97" s="4"/>
      <c r="B97" s="69"/>
      <c r="C97" s="5" t="s">
        <v>93</v>
      </c>
      <c r="D97" s="60" t="s">
        <v>48</v>
      </c>
      <c r="E97" s="61" t="s">
        <v>48</v>
      </c>
      <c r="F97" s="61" t="s">
        <v>48</v>
      </c>
      <c r="G97" s="61" t="s">
        <v>48</v>
      </c>
      <c r="H97" s="62"/>
      <c r="I97" s="62"/>
      <c r="J97" s="62"/>
      <c r="K97" s="62"/>
      <c r="L97" s="62"/>
      <c r="M97" s="62"/>
      <c r="N97" s="62"/>
    </row>
    <row r="98" spans="1:14" x14ac:dyDescent="0.25">
      <c r="A98" s="4"/>
      <c r="B98" s="317" t="s">
        <v>97</v>
      </c>
      <c r="C98" s="318"/>
      <c r="D98" s="318"/>
      <c r="E98" s="318"/>
      <c r="F98" s="318"/>
      <c r="G98" s="319"/>
      <c r="H98" s="62"/>
      <c r="I98" s="62"/>
      <c r="J98" s="62"/>
      <c r="K98" s="62"/>
      <c r="L98" s="62"/>
      <c r="M98" s="62"/>
      <c r="N98" s="62"/>
    </row>
    <row r="99" spans="1:14" x14ac:dyDescent="0.25">
      <c r="A99" s="4"/>
      <c r="B99" s="320" t="s">
        <v>98</v>
      </c>
      <c r="C99" s="321"/>
      <c r="D99" s="321"/>
      <c r="E99" s="321"/>
      <c r="F99" s="321"/>
      <c r="G99" s="322"/>
      <c r="H99" s="62"/>
      <c r="I99" s="62"/>
      <c r="J99" s="62"/>
      <c r="K99" s="62"/>
      <c r="L99" s="62"/>
      <c r="M99" s="62"/>
      <c r="N99" s="62"/>
    </row>
    <row r="100" spans="1:14" x14ac:dyDescent="0.25">
      <c r="A100" s="4"/>
      <c r="B100" s="320"/>
      <c r="C100" s="321"/>
      <c r="D100" s="321"/>
      <c r="E100" s="321"/>
      <c r="F100" s="321"/>
      <c r="G100" s="322"/>
      <c r="H100" s="62"/>
      <c r="I100" s="62"/>
      <c r="J100" s="62"/>
      <c r="K100" s="62"/>
      <c r="L100" s="62"/>
      <c r="M100" s="62"/>
      <c r="N100" s="62"/>
    </row>
    <row r="101" spans="1:14" x14ac:dyDescent="0.25">
      <c r="A101" s="1"/>
      <c r="B101" s="12"/>
      <c r="C101" s="323"/>
      <c r="D101" s="323"/>
      <c r="E101" s="323"/>
      <c r="F101" s="323"/>
      <c r="G101" s="323"/>
      <c r="H101" s="62"/>
      <c r="I101" s="62"/>
      <c r="J101" s="1"/>
      <c r="K101" s="1"/>
      <c r="L101" s="1"/>
      <c r="M101" s="1"/>
      <c r="N101" s="1"/>
    </row>
    <row r="102" spans="1:14" x14ac:dyDescent="0.25">
      <c r="A102" s="13">
        <v>14</v>
      </c>
      <c r="B102" s="70" t="s">
        <v>99</v>
      </c>
      <c r="C102" s="324" t="s">
        <v>16</v>
      </c>
      <c r="D102" s="325"/>
      <c r="E102" s="325"/>
      <c r="F102" s="325"/>
      <c r="G102" s="326"/>
      <c r="H102" s="26"/>
      <c r="I102" s="26"/>
      <c r="J102" s="26"/>
      <c r="K102" s="26"/>
      <c r="L102" s="26"/>
      <c r="M102" s="26"/>
      <c r="N102" s="26"/>
    </row>
    <row r="103" spans="1:14" x14ac:dyDescent="0.25">
      <c r="A103" s="71"/>
      <c r="B103" s="26"/>
      <c r="C103" s="72"/>
      <c r="D103" s="72"/>
      <c r="E103" s="72"/>
      <c r="F103" s="72"/>
      <c r="G103" s="72"/>
      <c r="H103" s="26"/>
      <c r="I103" s="26"/>
      <c r="J103" s="26"/>
      <c r="K103" s="26"/>
      <c r="L103" s="26"/>
      <c r="M103" s="26"/>
      <c r="N103" s="26"/>
    </row>
    <row r="104" spans="1:14" x14ac:dyDescent="0.25">
      <c r="A104" s="1"/>
      <c r="B104" s="314" t="s">
        <v>100</v>
      </c>
      <c r="C104" s="315"/>
      <c r="D104" s="315"/>
      <c r="E104" s="315"/>
      <c r="F104" s="315"/>
      <c r="G104" s="315"/>
      <c r="H104" s="315"/>
      <c r="I104" s="1"/>
      <c r="J104" s="1"/>
      <c r="K104" s="1"/>
      <c r="L104" s="1"/>
      <c r="M104" s="1"/>
      <c r="N104" s="1"/>
    </row>
    <row r="105" spans="1:14" x14ac:dyDescent="0.25">
      <c r="A105" s="1"/>
      <c r="B105" s="1"/>
      <c r="C105" s="1"/>
      <c r="D105" s="1"/>
      <c r="E105" s="1"/>
      <c r="F105" s="1"/>
      <c r="G105" s="1"/>
      <c r="H105" s="1"/>
      <c r="I105" s="1"/>
      <c r="J105" s="1"/>
      <c r="K105" s="1"/>
      <c r="L105" s="1"/>
      <c r="M105" s="1"/>
      <c r="N105" s="1"/>
    </row>
    <row r="106" spans="1:14" x14ac:dyDescent="0.25">
      <c r="A106" s="1"/>
      <c r="B106" s="1"/>
      <c r="C106" s="1"/>
      <c r="D106" s="1"/>
      <c r="E106" s="1"/>
      <c r="F106" s="1"/>
      <c r="G106" s="1"/>
      <c r="H106" s="1"/>
      <c r="I106" s="1"/>
      <c r="J106" s="1"/>
      <c r="K106" s="1"/>
      <c r="L106" s="1"/>
      <c r="M106" s="1"/>
      <c r="N106" s="1"/>
    </row>
  </sheetData>
  <sheetProtection password="E9DF" sheet="1" objects="1" scenarios="1"/>
  <mergeCells count="64">
    <mergeCell ref="C21:E21"/>
    <mergeCell ref="A1:B1"/>
    <mergeCell ref="C5:E5"/>
    <mergeCell ref="B6:D6"/>
    <mergeCell ref="B9:D9"/>
    <mergeCell ref="C11:E11"/>
    <mergeCell ref="B12:D12"/>
    <mergeCell ref="B15:C15"/>
    <mergeCell ref="B17:E17"/>
    <mergeCell ref="C18:E18"/>
    <mergeCell ref="C19:E19"/>
    <mergeCell ref="C20:E20"/>
    <mergeCell ref="C43:E43"/>
    <mergeCell ref="C22:E22"/>
    <mergeCell ref="B23:E23"/>
    <mergeCell ref="B26:E26"/>
    <mergeCell ref="B27:E27"/>
    <mergeCell ref="B33:E33"/>
    <mergeCell ref="B35:E35"/>
    <mergeCell ref="C36:E36"/>
    <mergeCell ref="C37:E37"/>
    <mergeCell ref="C38:E38"/>
    <mergeCell ref="B39:E39"/>
    <mergeCell ref="B42:E42"/>
    <mergeCell ref="C58:E58"/>
    <mergeCell ref="C44:E44"/>
    <mergeCell ref="C45:E45"/>
    <mergeCell ref="B46:E46"/>
    <mergeCell ref="B48:E48"/>
    <mergeCell ref="B51:E51"/>
    <mergeCell ref="B53:E53"/>
    <mergeCell ref="B54:B56"/>
    <mergeCell ref="C54:E54"/>
    <mergeCell ref="C55:E55"/>
    <mergeCell ref="C56:E56"/>
    <mergeCell ref="C57:E57"/>
    <mergeCell ref="C59:E59"/>
    <mergeCell ref="C60:E60"/>
    <mergeCell ref="B61:E61"/>
    <mergeCell ref="B62:E62"/>
    <mergeCell ref="C65:E65"/>
    <mergeCell ref="B89:B91"/>
    <mergeCell ref="F71:H71"/>
    <mergeCell ref="I71:K71"/>
    <mergeCell ref="L71:N71"/>
    <mergeCell ref="B76:N76"/>
    <mergeCell ref="B77:N77"/>
    <mergeCell ref="B78:N78"/>
    <mergeCell ref="B71:B72"/>
    <mergeCell ref="C71:C72"/>
    <mergeCell ref="D71:D72"/>
    <mergeCell ref="E71:E72"/>
    <mergeCell ref="B79:N79"/>
    <mergeCell ref="B80:N80"/>
    <mergeCell ref="B81:N81"/>
    <mergeCell ref="B83:G83"/>
    <mergeCell ref="B86:B88"/>
    <mergeCell ref="B104:H104"/>
    <mergeCell ref="B92:B94"/>
    <mergeCell ref="B98:G98"/>
    <mergeCell ref="B99:G99"/>
    <mergeCell ref="B100:G100"/>
    <mergeCell ref="C101:G101"/>
    <mergeCell ref="C102:G10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opLeftCell="A51" workbookViewId="0">
      <selection activeCell="B63" sqref="B63"/>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286</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287</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288</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289</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794</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264</v>
      </c>
      <c r="D28" s="22" t="s">
        <v>26</v>
      </c>
      <c r="E28" s="22" t="s">
        <v>27</v>
      </c>
      <c r="F28" s="19"/>
      <c r="G28" s="26"/>
      <c r="H28" s="26"/>
      <c r="I28" s="26"/>
      <c r="J28" s="26"/>
      <c r="K28" s="26"/>
      <c r="L28" s="26"/>
      <c r="M28" s="26"/>
      <c r="N28" s="26"/>
    </row>
    <row r="29" spans="1:14" ht="12.75" customHeight="1" x14ac:dyDescent="0.25">
      <c r="A29" s="13"/>
      <c r="B29" s="23" t="s">
        <v>28</v>
      </c>
      <c r="C29" s="24">
        <v>7866.09</v>
      </c>
      <c r="D29" s="24">
        <v>8991.51</v>
      </c>
      <c r="E29" s="136">
        <v>11629.47</v>
      </c>
      <c r="F29" s="19" t="s">
        <v>740</v>
      </c>
      <c r="G29" s="26"/>
      <c r="H29" s="26"/>
      <c r="I29" s="26"/>
      <c r="J29" s="26"/>
      <c r="K29" s="26"/>
      <c r="L29" s="26"/>
      <c r="M29" s="26"/>
      <c r="N29" s="26"/>
    </row>
    <row r="30" spans="1:14" x14ac:dyDescent="0.25">
      <c r="A30" s="13"/>
      <c r="B30" s="23" t="s">
        <v>29</v>
      </c>
      <c r="C30" s="24">
        <v>1172.8900000000001</v>
      </c>
      <c r="D30" s="24">
        <v>511.41</v>
      </c>
      <c r="E30" s="136">
        <v>1212.3</v>
      </c>
      <c r="F30" s="19"/>
      <c r="G30" s="26"/>
      <c r="H30" s="26"/>
      <c r="I30" s="26"/>
      <c r="J30" s="26"/>
      <c r="K30" s="26"/>
      <c r="L30" s="26"/>
      <c r="M30" s="26"/>
      <c r="N30" s="26"/>
    </row>
    <row r="31" spans="1:14" x14ac:dyDescent="0.25">
      <c r="A31" s="13"/>
      <c r="B31" s="23" t="s">
        <v>30</v>
      </c>
      <c r="C31" s="24">
        <v>2190.67</v>
      </c>
      <c r="D31" s="24">
        <v>2190.67</v>
      </c>
      <c r="E31" s="136">
        <v>2190.67</v>
      </c>
      <c r="F31" s="19"/>
      <c r="G31" s="26"/>
      <c r="H31" s="26"/>
      <c r="I31" s="26"/>
      <c r="J31" s="26"/>
      <c r="K31" s="26"/>
      <c r="L31" s="26"/>
      <c r="M31" s="26"/>
      <c r="N31" s="26"/>
    </row>
    <row r="32" spans="1:14" x14ac:dyDescent="0.25">
      <c r="A32" s="13"/>
      <c r="B32" s="23" t="s">
        <v>31</v>
      </c>
      <c r="C32" s="24">
        <v>5529.59</v>
      </c>
      <c r="D32" s="24">
        <v>8384.6</v>
      </c>
      <c r="E32" s="136">
        <v>7026.39</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4" t="s">
        <v>245</v>
      </c>
      <c r="D37" s="17"/>
      <c r="E37" s="17"/>
      <c r="F37" s="17"/>
      <c r="G37" s="26"/>
      <c r="H37" s="26"/>
      <c r="I37" s="26"/>
      <c r="J37" s="26"/>
      <c r="K37" s="26"/>
      <c r="L37" s="26"/>
      <c r="M37" s="26"/>
      <c r="N37" s="26"/>
    </row>
    <row r="38" spans="1:14" x14ac:dyDescent="0.25">
      <c r="A38" s="13"/>
      <c r="B38" s="27" t="s">
        <v>37</v>
      </c>
      <c r="C38" s="132" t="s">
        <v>245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x14ac:dyDescent="0.25">
      <c r="A44" s="13"/>
      <c r="B44" s="21" t="s">
        <v>36</v>
      </c>
      <c r="C44" s="350" t="s">
        <v>16</v>
      </c>
      <c r="D44" s="351"/>
      <c r="E44" s="352"/>
      <c r="F44" s="17"/>
      <c r="G44" s="26"/>
      <c r="H44" s="26"/>
      <c r="I44" s="26"/>
      <c r="J44" s="26"/>
      <c r="K44" s="26"/>
      <c r="L44" s="26"/>
      <c r="M44" s="26"/>
      <c r="N44" s="26"/>
    </row>
    <row r="45" spans="1:14" ht="26.25" customHeight="1" x14ac:dyDescent="0.25">
      <c r="A45" s="13"/>
      <c r="B45" s="21" t="s">
        <v>37</v>
      </c>
      <c r="C45" s="350" t="s">
        <v>795</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45</v>
      </c>
      <c r="F49" s="26"/>
      <c r="G49" s="26"/>
      <c r="H49" s="26"/>
      <c r="I49" s="26"/>
      <c r="J49" s="26"/>
      <c r="K49" s="26"/>
      <c r="L49" s="26"/>
      <c r="M49" s="26"/>
    </row>
    <row r="50" spans="1:14" x14ac:dyDescent="0.25">
      <c r="A50" s="34"/>
      <c r="B50" s="391" t="s">
        <v>159</v>
      </c>
      <c r="C50" s="392"/>
      <c r="D50" s="392"/>
      <c r="E50" s="393"/>
      <c r="F50" s="26"/>
      <c r="G50" s="26"/>
      <c r="H50" s="26"/>
      <c r="I50" s="26"/>
      <c r="J50" s="26"/>
      <c r="K50" s="26"/>
      <c r="L50" s="26"/>
      <c r="M50" s="26"/>
    </row>
    <row r="51" spans="1:14" x14ac:dyDescent="0.25">
      <c r="A51" s="36"/>
      <c r="B51" s="345"/>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159</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56</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s="76" customFormat="1" x14ac:dyDescent="0.2">
      <c r="A58" s="41" t="s">
        <v>57</v>
      </c>
      <c r="B58" s="384" t="s">
        <v>58</v>
      </c>
      <c r="C58" s="384"/>
      <c r="D58" s="384"/>
      <c r="E58" s="384"/>
    </row>
    <row r="59" spans="1:14" x14ac:dyDescent="0.25">
      <c r="A59" s="43"/>
      <c r="B59" s="44"/>
      <c r="C59" s="45"/>
      <c r="D59" s="46"/>
      <c r="E59" s="47"/>
      <c r="F59" s="40"/>
      <c r="G59" s="40"/>
      <c r="H59" s="40"/>
      <c r="I59" s="40"/>
      <c r="J59" s="40"/>
      <c r="K59" s="40"/>
      <c r="L59" s="40"/>
      <c r="M59" s="26"/>
      <c r="N59" s="26"/>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4" x14ac:dyDescent="0.25">
      <c r="A65" s="13"/>
      <c r="B65" s="21" t="s">
        <v>62</v>
      </c>
      <c r="C65" s="23" t="s">
        <v>291</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292</v>
      </c>
      <c r="D67" s="372" t="s">
        <v>293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ht="15" x14ac:dyDescent="0.25">
      <c r="A69" s="4"/>
      <c r="B69" s="21" t="s">
        <v>165</v>
      </c>
      <c r="C69" s="158">
        <v>28.8</v>
      </c>
      <c r="D69" s="64">
        <v>36.25</v>
      </c>
      <c r="E69" s="106">
        <v>41.1</v>
      </c>
      <c r="F69" s="64">
        <v>51.1</v>
      </c>
      <c r="G69" s="64">
        <v>52.75</v>
      </c>
      <c r="H69" s="64">
        <v>26</v>
      </c>
      <c r="I69" s="53">
        <v>43</v>
      </c>
      <c r="J69" s="53">
        <v>79.8</v>
      </c>
      <c r="K69" s="53">
        <v>42</v>
      </c>
      <c r="L69" s="53">
        <v>56</v>
      </c>
      <c r="M69" s="53">
        <v>64.95</v>
      </c>
      <c r="N69" s="53">
        <v>41</v>
      </c>
    </row>
    <row r="70" spans="1:14" ht="25.5" x14ac:dyDescent="0.2">
      <c r="A70" s="4"/>
      <c r="B70" s="21" t="s">
        <v>166</v>
      </c>
      <c r="C70" s="158">
        <v>8715.6</v>
      </c>
      <c r="D70" s="158">
        <v>8573.35</v>
      </c>
      <c r="E70" s="64">
        <v>8261.75</v>
      </c>
      <c r="F70" s="64">
        <v>9143.7999999999993</v>
      </c>
      <c r="G70" s="64">
        <v>9108</v>
      </c>
      <c r="H70" s="64">
        <v>8715.6</v>
      </c>
      <c r="I70" s="54">
        <v>10113.700000000001</v>
      </c>
      <c r="J70" s="54">
        <v>11171.55</v>
      </c>
      <c r="K70" s="56">
        <v>9075.15</v>
      </c>
      <c r="L70" s="53">
        <v>11623.9</v>
      </c>
      <c r="M70" s="53">
        <v>11760.2</v>
      </c>
      <c r="N70" s="53">
        <v>10127.75</v>
      </c>
    </row>
    <row r="71" spans="1:14" x14ac:dyDescent="0.25">
      <c r="A71" s="4"/>
      <c r="B71" s="331" t="s">
        <v>295</v>
      </c>
      <c r="C71" s="390"/>
      <c r="D71" s="390"/>
      <c r="E71" s="390"/>
      <c r="F71" s="331"/>
      <c r="G71" s="331"/>
      <c r="H71" s="331"/>
      <c r="I71" s="331"/>
      <c r="J71" s="331"/>
      <c r="K71" s="331"/>
      <c r="L71" s="331"/>
      <c r="M71" s="331"/>
      <c r="N71" s="331"/>
    </row>
    <row r="72" spans="1:14" ht="13.5" x14ac:dyDescent="0.25">
      <c r="A72" s="4"/>
      <c r="B72" s="383" t="s">
        <v>156</v>
      </c>
      <c r="C72" s="383"/>
      <c r="D72" s="383"/>
      <c r="E72" s="383"/>
      <c r="F72" s="383"/>
      <c r="G72" s="383"/>
      <c r="H72" s="383"/>
      <c r="I72" s="383"/>
      <c r="J72" s="383"/>
      <c r="K72" s="383"/>
      <c r="L72" s="383"/>
      <c r="M72" s="383"/>
      <c r="N72" s="383"/>
    </row>
    <row r="73" spans="1:14" x14ac:dyDescent="0.25">
      <c r="A73" s="4"/>
      <c r="B73" s="382" t="s">
        <v>79</v>
      </c>
      <c r="C73" s="382"/>
      <c r="D73" s="382"/>
      <c r="E73" s="382"/>
      <c r="F73" s="382"/>
      <c r="G73" s="382"/>
      <c r="H73" s="382"/>
      <c r="I73" s="382"/>
      <c r="J73" s="382"/>
      <c r="K73" s="382"/>
      <c r="L73" s="382"/>
      <c r="M73" s="382"/>
      <c r="N73" s="382"/>
    </row>
    <row r="74" spans="1:14" s="57" customFormat="1" x14ac:dyDescent="0.25">
      <c r="B74" s="382" t="s">
        <v>80</v>
      </c>
      <c r="C74" s="382"/>
      <c r="D74" s="382"/>
      <c r="E74" s="382"/>
      <c r="F74" s="382"/>
      <c r="G74" s="382"/>
      <c r="H74" s="382"/>
      <c r="I74" s="382"/>
      <c r="J74" s="382"/>
      <c r="K74" s="382"/>
      <c r="L74" s="382"/>
      <c r="M74" s="382"/>
      <c r="N74" s="382"/>
    </row>
    <row r="75" spans="1:14" x14ac:dyDescent="0.25">
      <c r="A75" s="4"/>
      <c r="B75" s="382" t="s">
        <v>117</v>
      </c>
      <c r="C75" s="382"/>
      <c r="D75" s="382"/>
      <c r="E75" s="382"/>
      <c r="F75" s="382"/>
      <c r="G75" s="382"/>
      <c r="H75" s="382"/>
      <c r="I75" s="382"/>
      <c r="J75" s="382"/>
      <c r="K75" s="382"/>
      <c r="L75" s="382"/>
      <c r="M75" s="382"/>
      <c r="N75" s="382"/>
    </row>
    <row r="76" spans="1:14" x14ac:dyDescent="0.25">
      <c r="A76" s="4"/>
      <c r="B76" s="382" t="s">
        <v>82</v>
      </c>
      <c r="C76" s="382"/>
      <c r="D76" s="382"/>
      <c r="E76" s="382"/>
      <c r="F76" s="382"/>
      <c r="G76" s="382"/>
      <c r="H76" s="382"/>
      <c r="I76" s="382"/>
      <c r="J76" s="382"/>
      <c r="K76" s="382"/>
      <c r="L76" s="382"/>
      <c r="M76" s="382"/>
      <c r="N76" s="382"/>
    </row>
    <row r="77" spans="1:14" x14ac:dyDescent="0.25">
      <c r="A77" s="4"/>
      <c r="B77" s="58"/>
      <c r="C77" s="58"/>
      <c r="D77" s="58"/>
      <c r="E77" s="58"/>
      <c r="F77" s="58"/>
      <c r="G77" s="17"/>
      <c r="H77" s="17"/>
      <c r="I77" s="17"/>
      <c r="J77" s="17"/>
      <c r="K77" s="17"/>
      <c r="L77" s="17"/>
      <c r="M77" s="17"/>
      <c r="N77" s="17"/>
    </row>
    <row r="78" spans="1:14" x14ac:dyDescent="0.25">
      <c r="A78" s="13">
        <v>13</v>
      </c>
      <c r="B78" s="338" t="s">
        <v>83</v>
      </c>
      <c r="C78" s="339"/>
      <c r="D78" s="339"/>
      <c r="E78" s="339"/>
      <c r="F78" s="339"/>
      <c r="G78" s="340"/>
      <c r="H78" s="15"/>
      <c r="I78" s="15"/>
      <c r="J78" s="15"/>
      <c r="K78" s="15"/>
      <c r="L78" s="15"/>
      <c r="M78" s="15"/>
      <c r="N78" s="15"/>
    </row>
    <row r="79" spans="1:14" x14ac:dyDescent="0.25">
      <c r="A79" s="13"/>
      <c r="B79" s="26"/>
      <c r="C79" s="19"/>
      <c r="D79" s="19"/>
      <c r="E79" s="19"/>
      <c r="F79" s="19"/>
      <c r="G79" s="19"/>
      <c r="H79" s="19"/>
      <c r="I79" s="19"/>
      <c r="J79" s="19"/>
      <c r="K79" s="19"/>
      <c r="L79" s="19"/>
      <c r="M79" s="19"/>
      <c r="N79" s="19"/>
    </row>
    <row r="80" spans="1:14" ht="102" x14ac:dyDescent="0.25">
      <c r="A80" s="4"/>
      <c r="B80" s="59" t="s">
        <v>84</v>
      </c>
      <c r="C80" s="22" t="s">
        <v>85</v>
      </c>
      <c r="D80" s="22" t="s">
        <v>86</v>
      </c>
      <c r="E80" s="22" t="s">
        <v>280</v>
      </c>
      <c r="F80" s="22" t="s">
        <v>88</v>
      </c>
      <c r="G80" s="155" t="s">
        <v>169</v>
      </c>
      <c r="H80" s="17"/>
      <c r="I80" s="17"/>
      <c r="J80" s="17"/>
      <c r="K80" s="17"/>
      <c r="L80" s="17"/>
      <c r="M80" s="17"/>
      <c r="N80" s="17"/>
    </row>
    <row r="81" spans="1:14" ht="12.75" customHeight="1" x14ac:dyDescent="0.2">
      <c r="A81" s="4"/>
      <c r="B81" s="316" t="s">
        <v>90</v>
      </c>
      <c r="C81" s="5" t="s">
        <v>296</v>
      </c>
      <c r="D81" s="91">
        <v>4.79</v>
      </c>
      <c r="E81" s="80">
        <v>5.35</v>
      </c>
      <c r="F81" s="80">
        <v>2.33</v>
      </c>
      <c r="G81" s="25">
        <v>5.53</v>
      </c>
      <c r="H81" s="62"/>
      <c r="I81" s="62"/>
      <c r="J81" s="62"/>
      <c r="K81" s="62"/>
      <c r="L81" s="62"/>
      <c r="M81" s="62"/>
      <c r="N81" s="62"/>
    </row>
    <row r="82" spans="1:14" x14ac:dyDescent="0.25">
      <c r="A82" s="4"/>
      <c r="B82" s="316"/>
      <c r="C82" s="5" t="s">
        <v>171</v>
      </c>
      <c r="D82" s="92" t="s">
        <v>126</v>
      </c>
      <c r="E82" s="80"/>
      <c r="F82" s="80"/>
      <c r="G82" s="25"/>
      <c r="H82" s="62"/>
      <c r="I82" s="62"/>
      <c r="J82" s="62"/>
      <c r="K82" s="62"/>
      <c r="L82" s="62"/>
      <c r="M82" s="62"/>
      <c r="N82" s="62"/>
    </row>
    <row r="83" spans="1:14" x14ac:dyDescent="0.25">
      <c r="A83" s="4"/>
      <c r="B83" s="316"/>
      <c r="C83" s="25" t="s">
        <v>297</v>
      </c>
      <c r="D83" s="63">
        <v>-5.52</v>
      </c>
      <c r="E83" s="80">
        <v>4.66</v>
      </c>
      <c r="F83" s="80">
        <v>3.06</v>
      </c>
      <c r="G83" s="25">
        <v>10.91</v>
      </c>
      <c r="H83" s="62"/>
      <c r="I83" s="62"/>
      <c r="J83" s="62"/>
      <c r="K83" s="62"/>
      <c r="L83" s="62"/>
      <c r="M83" s="62"/>
      <c r="N83" s="62"/>
    </row>
    <row r="84" spans="1:14" x14ac:dyDescent="0.25">
      <c r="A84" s="4"/>
      <c r="B84" s="316"/>
      <c r="C84" s="25" t="s">
        <v>298</v>
      </c>
      <c r="D84" s="92">
        <v>0.36</v>
      </c>
      <c r="E84" s="80">
        <v>0.18</v>
      </c>
      <c r="F84" s="80">
        <v>0.17</v>
      </c>
      <c r="G84" s="25">
        <v>0.81</v>
      </c>
      <c r="H84" s="62"/>
      <c r="I84" s="62"/>
      <c r="J84" s="62"/>
      <c r="K84" s="62"/>
      <c r="L84" s="62"/>
      <c r="M84" s="62"/>
      <c r="N84" s="62"/>
    </row>
    <row r="85" spans="1:14" x14ac:dyDescent="0.25">
      <c r="A85" s="4"/>
      <c r="B85" s="316"/>
      <c r="C85" s="25" t="s">
        <v>299</v>
      </c>
      <c r="D85" s="92">
        <v>9.01</v>
      </c>
      <c r="E85" s="80">
        <v>10.09</v>
      </c>
      <c r="F85" s="80">
        <v>10.98</v>
      </c>
      <c r="G85" s="25">
        <v>13.32</v>
      </c>
      <c r="H85" s="62"/>
      <c r="I85" s="62"/>
      <c r="J85" s="62"/>
      <c r="K85" s="62"/>
      <c r="L85" s="62"/>
      <c r="M85" s="62"/>
      <c r="N85" s="62"/>
    </row>
    <row r="86" spans="1:14" x14ac:dyDescent="0.25">
      <c r="A86" s="4"/>
      <c r="B86" s="316"/>
      <c r="C86" s="5" t="s">
        <v>93</v>
      </c>
      <c r="D86" s="164">
        <f>D83+D84+D85/3</f>
        <v>-2.1566666666666658</v>
      </c>
      <c r="E86" s="165">
        <f>E83+E84+E85/3</f>
        <v>8.2033333333333331</v>
      </c>
      <c r="F86" s="165">
        <f>F83+F84+F85/3</f>
        <v>6.8900000000000006</v>
      </c>
      <c r="G86" s="165">
        <f>G83+G84+G85/3</f>
        <v>16.16</v>
      </c>
      <c r="H86" s="62"/>
      <c r="I86" s="62"/>
      <c r="J86" s="62"/>
      <c r="K86" s="62"/>
      <c r="L86" s="62"/>
      <c r="M86" s="62"/>
      <c r="N86" s="62"/>
    </row>
    <row r="87" spans="1:14" x14ac:dyDescent="0.2">
      <c r="A87" s="4"/>
      <c r="B87" s="316" t="s">
        <v>94</v>
      </c>
      <c r="C87" s="5" t="s">
        <v>296</v>
      </c>
      <c r="D87" s="93">
        <v>5.01</v>
      </c>
      <c r="E87" s="80">
        <v>9.5500000000000007</v>
      </c>
      <c r="F87" s="85">
        <f>43/2.33</f>
        <v>18.454935622317596</v>
      </c>
      <c r="G87" s="25">
        <v>10.119999999999999</v>
      </c>
      <c r="H87" s="62"/>
      <c r="I87" s="62"/>
      <c r="J87" s="62"/>
      <c r="K87" s="62"/>
      <c r="L87" s="62"/>
      <c r="M87" s="62"/>
      <c r="N87" s="62"/>
    </row>
    <row r="88" spans="1:14" x14ac:dyDescent="0.2">
      <c r="A88" s="4"/>
      <c r="B88" s="316"/>
      <c r="C88" s="5" t="s">
        <v>171</v>
      </c>
      <c r="D88" s="107" t="s">
        <v>126</v>
      </c>
      <c r="E88" s="80"/>
      <c r="F88" s="80"/>
      <c r="G88" s="25"/>
      <c r="H88" s="62"/>
      <c r="I88" s="62"/>
      <c r="J88" s="62"/>
      <c r="K88" s="62"/>
      <c r="L88" s="62"/>
      <c r="M88" s="62"/>
      <c r="N88" s="62"/>
    </row>
    <row r="89" spans="1:14" x14ac:dyDescent="0.2">
      <c r="A89" s="4"/>
      <c r="B89" s="316"/>
      <c r="C89" s="25" t="s">
        <v>297</v>
      </c>
      <c r="D89" s="107">
        <v>0</v>
      </c>
      <c r="E89" s="80">
        <v>18.71</v>
      </c>
      <c r="F89" s="85">
        <f>78.4/3.06</f>
        <v>25.62091503267974</v>
      </c>
      <c r="G89" s="154">
        <f>85/G83</f>
        <v>7.791017415215399</v>
      </c>
      <c r="H89" s="62"/>
      <c r="I89" s="62"/>
      <c r="J89" s="62"/>
      <c r="K89" s="62"/>
      <c r="L89" s="62"/>
      <c r="M89" s="62"/>
      <c r="N89" s="62"/>
    </row>
    <row r="90" spans="1:14" x14ac:dyDescent="0.2">
      <c r="A90" s="4"/>
      <c r="B90" s="316"/>
      <c r="C90" s="25" t="s">
        <v>298</v>
      </c>
      <c r="D90" s="93">
        <v>25.77</v>
      </c>
      <c r="E90" s="80">
        <v>88.61</v>
      </c>
      <c r="F90" s="85">
        <f>12.85/0.17</f>
        <v>75.588235294117638</v>
      </c>
      <c r="G90" s="154">
        <f>8.06/G84</f>
        <v>9.9506172839506171</v>
      </c>
      <c r="H90" s="62"/>
      <c r="I90" s="62"/>
      <c r="J90" s="62"/>
      <c r="K90" s="62"/>
      <c r="L90" s="62"/>
      <c r="M90" s="62"/>
      <c r="N90" s="62"/>
    </row>
    <row r="91" spans="1:14" x14ac:dyDescent="0.2">
      <c r="A91" s="4"/>
      <c r="B91" s="316"/>
      <c r="C91" s="25" t="s">
        <v>299</v>
      </c>
      <c r="D91" s="107">
        <v>0</v>
      </c>
      <c r="E91" s="80">
        <v>19.86</v>
      </c>
      <c r="F91" s="85">
        <f>202.85/10.98</f>
        <v>18.474499089253186</v>
      </c>
      <c r="G91" s="154">
        <f>164.55/G85</f>
        <v>12.353603603603604</v>
      </c>
      <c r="H91" s="62"/>
      <c r="I91" s="62"/>
      <c r="J91" s="62"/>
      <c r="K91" s="62"/>
      <c r="L91" s="62"/>
      <c r="M91" s="62"/>
      <c r="N91" s="62"/>
    </row>
    <row r="92" spans="1:14" x14ac:dyDescent="0.25">
      <c r="A92" s="4"/>
      <c r="B92" s="316"/>
      <c r="C92" s="5" t="s">
        <v>93</v>
      </c>
      <c r="D92" s="166">
        <f>D89+D90+D91/3</f>
        <v>25.77</v>
      </c>
      <c r="E92" s="95">
        <f>E89+E90+E91/3</f>
        <v>113.94</v>
      </c>
      <c r="F92" s="167">
        <f>F89+F90+F91/3</f>
        <v>107.36731668988178</v>
      </c>
      <c r="G92" s="167">
        <f>G89+G90+G91/3</f>
        <v>21.859502567033886</v>
      </c>
      <c r="H92" s="62"/>
      <c r="I92" s="62"/>
      <c r="J92" s="62"/>
      <c r="K92" s="62"/>
      <c r="L92" s="62"/>
      <c r="M92" s="62"/>
      <c r="N92" s="62"/>
    </row>
    <row r="93" spans="1:14" x14ac:dyDescent="0.2">
      <c r="A93" s="4"/>
      <c r="B93" s="316" t="s">
        <v>95</v>
      </c>
      <c r="C93" s="5" t="s">
        <v>296</v>
      </c>
      <c r="D93" s="91">
        <v>14.25</v>
      </c>
      <c r="E93" s="80">
        <v>15.19</v>
      </c>
      <c r="F93" s="86">
        <f>511.41/10575.27</f>
        <v>4.8359048988820146E-2</v>
      </c>
      <c r="G93" s="157">
        <v>0.104</v>
      </c>
      <c r="H93" s="62"/>
      <c r="I93" s="62"/>
      <c r="J93" s="62"/>
      <c r="K93" s="62"/>
      <c r="L93" s="62"/>
      <c r="M93" s="62"/>
      <c r="N93" s="62"/>
    </row>
    <row r="94" spans="1:14" x14ac:dyDescent="0.25">
      <c r="A94" s="4"/>
      <c r="B94" s="316"/>
      <c r="C94" s="5" t="s">
        <v>171</v>
      </c>
      <c r="D94" s="92" t="s">
        <v>126</v>
      </c>
      <c r="E94" s="80"/>
      <c r="F94" s="80"/>
      <c r="G94" s="25"/>
      <c r="H94" s="62"/>
      <c r="I94" s="62"/>
      <c r="J94" s="62"/>
      <c r="K94" s="62"/>
      <c r="L94" s="62"/>
      <c r="M94" s="62"/>
      <c r="N94" s="62"/>
    </row>
    <row r="95" spans="1:14" x14ac:dyDescent="0.25">
      <c r="A95" s="4"/>
      <c r="B95" s="316"/>
      <c r="C95" s="25" t="s">
        <v>297</v>
      </c>
      <c r="D95" s="92">
        <v>-8.0500000000000007</v>
      </c>
      <c r="E95" s="80">
        <v>6.43</v>
      </c>
      <c r="F95" s="86">
        <f>547.67/13414.6</f>
        <v>4.0826413012687662E-2</v>
      </c>
      <c r="G95" s="157">
        <v>0.12820000000000001</v>
      </c>
      <c r="H95" s="62"/>
      <c r="I95" s="62"/>
      <c r="J95" s="62"/>
      <c r="K95" s="62"/>
      <c r="L95" s="62"/>
      <c r="M95" s="62"/>
      <c r="N95" s="62"/>
    </row>
    <row r="96" spans="1:14" x14ac:dyDescent="0.25">
      <c r="A96" s="4"/>
      <c r="B96" s="316"/>
      <c r="C96" s="25" t="s">
        <v>298</v>
      </c>
      <c r="D96" s="92">
        <v>2.79</v>
      </c>
      <c r="E96" s="80">
        <v>1.39</v>
      </c>
      <c r="F96" s="86">
        <f>180.3/13032.71</f>
        <v>1.3834421237025916E-2</v>
      </c>
      <c r="G96" s="157">
        <f>789.74/13811.67</f>
        <v>5.7179182531873408E-2</v>
      </c>
      <c r="H96" s="62"/>
      <c r="I96" s="62"/>
      <c r="J96" s="62"/>
      <c r="K96" s="62"/>
      <c r="L96" s="62"/>
      <c r="M96" s="62"/>
      <c r="N96" s="62"/>
    </row>
    <row r="97" spans="1:14" x14ac:dyDescent="0.25">
      <c r="A97" s="4"/>
      <c r="B97" s="316"/>
      <c r="C97" s="25" t="s">
        <v>299</v>
      </c>
      <c r="D97" s="92">
        <v>21.15</v>
      </c>
      <c r="E97" s="80">
        <v>15.75</v>
      </c>
      <c r="F97" s="86">
        <f>3317.06/23372.53</f>
        <v>0.14192130676482179</v>
      </c>
      <c r="G97" s="157">
        <f>(4084.58/28441.73)</f>
        <v>0.14361222049432296</v>
      </c>
      <c r="H97" s="62"/>
      <c r="I97" s="62"/>
      <c r="J97" s="62"/>
      <c r="K97" s="62"/>
      <c r="L97" s="62"/>
      <c r="M97" s="62"/>
      <c r="N97" s="62"/>
    </row>
    <row r="98" spans="1:14" x14ac:dyDescent="0.25">
      <c r="A98" s="4"/>
      <c r="B98" s="316"/>
      <c r="C98" s="5" t="s">
        <v>93</v>
      </c>
      <c r="D98" s="164">
        <f>D95+D96+D97/3</f>
        <v>1.7899999999999991</v>
      </c>
      <c r="E98" s="165">
        <f>E95+E96+E97/3</f>
        <v>13.07</v>
      </c>
      <c r="F98" s="165">
        <f>F95+F96+F97/3</f>
        <v>0.10196793650465416</v>
      </c>
      <c r="G98" s="165">
        <f>G95+G96+G97/3</f>
        <v>0.23324992269664774</v>
      </c>
      <c r="H98" s="62"/>
      <c r="I98" s="62"/>
      <c r="J98" s="62"/>
      <c r="K98" s="66"/>
      <c r="L98" s="62"/>
      <c r="M98" s="62"/>
      <c r="N98" s="62"/>
    </row>
    <row r="99" spans="1:14" x14ac:dyDescent="0.2">
      <c r="A99" s="4"/>
      <c r="B99" s="316" t="s">
        <v>96</v>
      </c>
      <c r="C99" s="5" t="s">
        <v>296</v>
      </c>
      <c r="D99" s="91">
        <v>30.27</v>
      </c>
      <c r="E99" s="80">
        <v>35.24</v>
      </c>
      <c r="F99" s="85">
        <f>10575.27/219.067</f>
        <v>48.274135310201899</v>
      </c>
      <c r="G99" s="25">
        <v>53.21</v>
      </c>
      <c r="H99" s="62"/>
      <c r="I99" s="62"/>
      <c r="J99" s="62"/>
      <c r="K99" s="62"/>
      <c r="L99" s="62"/>
      <c r="M99" s="62"/>
      <c r="N99" s="62"/>
    </row>
    <row r="100" spans="1:14" x14ac:dyDescent="0.25">
      <c r="A100" s="4"/>
      <c r="B100" s="316"/>
      <c r="C100" s="5" t="s">
        <v>171</v>
      </c>
      <c r="D100" s="92" t="s">
        <v>126</v>
      </c>
      <c r="E100" s="80"/>
      <c r="F100" s="80"/>
      <c r="G100" s="25"/>
      <c r="H100" s="62"/>
      <c r="I100" s="62"/>
      <c r="J100" s="62"/>
      <c r="K100" s="62"/>
      <c r="L100" s="62"/>
      <c r="M100" s="62"/>
      <c r="N100" s="62"/>
    </row>
    <row r="101" spans="1:14" x14ac:dyDescent="0.25">
      <c r="A101" s="4"/>
      <c r="B101" s="386"/>
      <c r="C101" s="25" t="s">
        <v>297</v>
      </c>
      <c r="D101" s="92">
        <v>68.97</v>
      </c>
      <c r="E101" s="80">
        <v>72.489999999999995</v>
      </c>
      <c r="F101" s="85">
        <f>13414.6/176.743</f>
        <v>75.898904058435136</v>
      </c>
      <c r="G101" s="25">
        <v>85.59</v>
      </c>
      <c r="H101" s="62"/>
      <c r="I101" s="62"/>
      <c r="J101" s="62"/>
      <c r="K101" s="62"/>
      <c r="L101" s="62"/>
      <c r="M101" s="62"/>
      <c r="N101" s="62"/>
    </row>
    <row r="102" spans="1:14" x14ac:dyDescent="0.25">
      <c r="A102" s="4"/>
      <c r="B102" s="386"/>
      <c r="C102" s="25" t="s">
        <v>298</v>
      </c>
      <c r="D102" s="92">
        <v>13.08</v>
      </c>
      <c r="E102" s="80">
        <v>13.3</v>
      </c>
      <c r="F102" s="85">
        <f>13032.71/969.89</f>
        <v>13.437307323510913</v>
      </c>
      <c r="G102" s="154">
        <f>(13811.67*100000)/9698900</f>
        <v>142.4044994793224</v>
      </c>
      <c r="H102" s="62"/>
      <c r="I102" s="62"/>
      <c r="J102" s="62"/>
      <c r="K102" s="62"/>
      <c r="L102" s="62"/>
      <c r="M102" s="62"/>
      <c r="N102" s="62"/>
    </row>
    <row r="103" spans="1:14" x14ac:dyDescent="0.25">
      <c r="A103" s="4"/>
      <c r="B103" s="386"/>
      <c r="C103" s="25" t="s">
        <v>299</v>
      </c>
      <c r="D103" s="92">
        <v>42.57</v>
      </c>
      <c r="E103" s="80">
        <v>64.069999999999993</v>
      </c>
      <c r="F103" s="85">
        <f>23372.53/302.194</f>
        <v>77.342799658497512</v>
      </c>
      <c r="G103" s="154">
        <f>(28441.73*100000)/30724300</f>
        <v>92.570799009253264</v>
      </c>
      <c r="H103" s="62"/>
      <c r="I103" s="62"/>
      <c r="J103" s="62"/>
      <c r="K103" s="62"/>
      <c r="L103" s="62"/>
      <c r="M103" s="62"/>
      <c r="N103" s="62"/>
    </row>
    <row r="104" spans="1:14" x14ac:dyDescent="0.25">
      <c r="A104" s="4"/>
      <c r="B104" s="386"/>
      <c r="C104" s="5" t="s">
        <v>93</v>
      </c>
      <c r="D104" s="164">
        <f>D101+D102+D103/3</f>
        <v>96.24</v>
      </c>
      <c r="E104" s="165">
        <f>E101+E102+E103/3</f>
        <v>107.14666666666666</v>
      </c>
      <c r="F104" s="165">
        <f>F101+F102+F103/3</f>
        <v>115.11714460144522</v>
      </c>
      <c r="G104" s="168">
        <f>G101+G102+G103/3</f>
        <v>258.85143248240684</v>
      </c>
      <c r="H104" s="62"/>
      <c r="I104" s="62"/>
      <c r="J104" s="62"/>
      <c r="K104" s="62"/>
      <c r="L104" s="62"/>
      <c r="M104" s="62"/>
      <c r="N104" s="62"/>
    </row>
    <row r="105" spans="1:14" s="57" customFormat="1" x14ac:dyDescent="0.25">
      <c r="B105" s="387" t="s">
        <v>172</v>
      </c>
      <c r="C105" s="388"/>
      <c r="D105" s="388"/>
      <c r="E105" s="388"/>
      <c r="F105" s="388"/>
      <c r="G105" s="389"/>
    </row>
    <row r="106" spans="1:14" x14ac:dyDescent="0.25">
      <c r="A106" s="4"/>
      <c r="B106" s="376" t="s">
        <v>300</v>
      </c>
      <c r="C106" s="377"/>
      <c r="D106" s="377"/>
      <c r="E106" s="377"/>
      <c r="F106" s="377"/>
      <c r="G106" s="378"/>
      <c r="H106" s="62"/>
      <c r="I106" s="62"/>
      <c r="J106" s="62"/>
      <c r="K106" s="62"/>
      <c r="L106" s="62"/>
      <c r="M106" s="62"/>
      <c r="N106" s="62"/>
    </row>
    <row r="107" spans="1:14" x14ac:dyDescent="0.25">
      <c r="A107" s="4"/>
      <c r="B107" s="379" t="s">
        <v>128</v>
      </c>
      <c r="C107" s="380"/>
      <c r="D107" s="380"/>
      <c r="E107" s="380"/>
      <c r="F107" s="380"/>
      <c r="G107" s="381"/>
      <c r="H107" s="62"/>
      <c r="I107" s="62"/>
      <c r="J107" s="62"/>
      <c r="K107" s="62"/>
      <c r="L107" s="62"/>
      <c r="M107" s="62"/>
      <c r="N107" s="62"/>
    </row>
    <row r="108" spans="1:14" x14ac:dyDescent="0.25">
      <c r="A108" s="4"/>
      <c r="B108" s="353"/>
      <c r="C108" s="354"/>
      <c r="D108" s="354"/>
      <c r="E108" s="354"/>
      <c r="F108" s="354"/>
      <c r="G108" s="355"/>
      <c r="H108" s="62"/>
      <c r="I108" s="62"/>
      <c r="J108" s="62"/>
      <c r="K108" s="62"/>
      <c r="L108" s="62"/>
      <c r="M108" s="62"/>
      <c r="N108" s="62"/>
    </row>
    <row r="109" spans="1:14" x14ac:dyDescent="0.25">
      <c r="A109" s="26"/>
      <c r="B109" s="12"/>
      <c r="C109" s="323"/>
      <c r="D109" s="323"/>
      <c r="E109" s="323"/>
      <c r="F109" s="323"/>
      <c r="G109" s="323"/>
      <c r="H109" s="62"/>
      <c r="I109" s="62"/>
      <c r="J109" s="26"/>
      <c r="K109" s="26"/>
      <c r="L109" s="26"/>
      <c r="M109" s="26"/>
      <c r="N109" s="26"/>
    </row>
    <row r="110" spans="1:14" x14ac:dyDescent="0.25">
      <c r="A110" s="13">
        <v>14</v>
      </c>
      <c r="B110" s="70" t="s">
        <v>99</v>
      </c>
      <c r="C110" s="324" t="s">
        <v>48</v>
      </c>
      <c r="D110" s="325"/>
      <c r="E110" s="325"/>
      <c r="F110" s="325"/>
      <c r="G110" s="326"/>
      <c r="H110" s="26"/>
      <c r="I110" s="26"/>
      <c r="J110" s="26"/>
      <c r="K110" s="26"/>
      <c r="L110" s="26"/>
      <c r="M110" s="26"/>
      <c r="N110" s="26"/>
    </row>
    <row r="111" spans="1:14" x14ac:dyDescent="0.25">
      <c r="A111" s="71"/>
      <c r="B111" s="26"/>
      <c r="C111" s="84"/>
      <c r="D111" s="84"/>
      <c r="E111" s="84"/>
      <c r="F111" s="84"/>
      <c r="G111" s="84"/>
      <c r="H111" s="26"/>
      <c r="I111" s="26"/>
      <c r="J111" s="26"/>
      <c r="K111" s="26"/>
      <c r="L111" s="26"/>
      <c r="M111" s="26"/>
      <c r="N111" s="26"/>
    </row>
    <row r="112" spans="1:14" x14ac:dyDescent="0.25">
      <c r="A112" s="26"/>
      <c r="B112" s="374" t="s">
        <v>301</v>
      </c>
      <c r="C112" s="375"/>
      <c r="D112" s="375"/>
      <c r="E112" s="375"/>
      <c r="F112" s="375"/>
      <c r="G112" s="375"/>
      <c r="H112" s="375"/>
      <c r="I112" s="26"/>
      <c r="J112" s="26"/>
      <c r="K112" s="26"/>
      <c r="L112" s="26"/>
      <c r="M112" s="26"/>
      <c r="N112" s="26"/>
    </row>
    <row r="113" spans="1:14" x14ac:dyDescent="0.25">
      <c r="A113" s="26"/>
      <c r="I113" s="26"/>
      <c r="J113" s="26"/>
      <c r="K113" s="26"/>
      <c r="L113" s="26"/>
      <c r="M113" s="26"/>
      <c r="N113" s="26"/>
    </row>
    <row r="114" spans="1:14" x14ac:dyDescent="0.25">
      <c r="A114" s="26"/>
      <c r="J114" s="26"/>
      <c r="K114" s="26"/>
      <c r="L114" s="26"/>
      <c r="M114" s="26"/>
      <c r="N114" s="26"/>
    </row>
  </sheetData>
  <sheetProtection password="E9DF" sheet="1" objects="1" scenarios="1"/>
  <mergeCells count="59">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72:N72"/>
    <mergeCell ref="B54:B55"/>
    <mergeCell ref="C54:E55"/>
    <mergeCell ref="B35:E35"/>
    <mergeCell ref="B39:C39"/>
    <mergeCell ref="B42:E42"/>
    <mergeCell ref="C43:E43"/>
    <mergeCell ref="C44:E44"/>
    <mergeCell ref="C45:E45"/>
    <mergeCell ref="B46:E46"/>
    <mergeCell ref="B48:E48"/>
    <mergeCell ref="B50:E50"/>
    <mergeCell ref="B51:E51"/>
    <mergeCell ref="B53:E53"/>
    <mergeCell ref="B87:B92"/>
    <mergeCell ref="B93:B98"/>
    <mergeCell ref="B99:B104"/>
    <mergeCell ref="B73:N73"/>
    <mergeCell ref="C56:E56"/>
    <mergeCell ref="C57:E57"/>
    <mergeCell ref="B58:E58"/>
    <mergeCell ref="C61:E61"/>
    <mergeCell ref="B67:B68"/>
    <mergeCell ref="C67:C68"/>
    <mergeCell ref="D67:D68"/>
    <mergeCell ref="E67:E68"/>
    <mergeCell ref="F67:H67"/>
    <mergeCell ref="I67:K67"/>
    <mergeCell ref="L67:N67"/>
    <mergeCell ref="B71:N71"/>
    <mergeCell ref="B74:N74"/>
    <mergeCell ref="B75:N75"/>
    <mergeCell ref="B76:N76"/>
    <mergeCell ref="B78:G78"/>
    <mergeCell ref="B81:B86"/>
    <mergeCell ref="B112:H112"/>
    <mergeCell ref="B105:G105"/>
    <mergeCell ref="B106:G106"/>
    <mergeCell ref="B107:G107"/>
    <mergeCell ref="B108:G108"/>
    <mergeCell ref="C109:G109"/>
    <mergeCell ref="C110:G110"/>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topLeftCell="A50" workbookViewId="0">
      <selection activeCell="B69" sqref="B69:B70"/>
    </sheetView>
  </sheetViews>
  <sheetFormatPr defaultColWidth="8.85546875" defaultRowHeight="12.75" x14ac:dyDescent="0.25"/>
  <cols>
    <col min="1" max="1" width="8.85546875" style="73"/>
    <col min="2" max="2" width="40.28515625" style="73" customWidth="1"/>
    <col min="3" max="3" width="40.85546875" style="73" customWidth="1"/>
    <col min="4" max="4" width="28.14062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135" t="s">
        <v>302</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303</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6" t="s">
        <v>304</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305</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264</v>
      </c>
      <c r="D28" s="22" t="s">
        <v>26</v>
      </c>
      <c r="E28" s="22" t="s">
        <v>27</v>
      </c>
      <c r="F28" s="19"/>
      <c r="G28" s="26"/>
      <c r="H28" s="26"/>
      <c r="I28" s="26"/>
      <c r="J28" s="26"/>
      <c r="K28" s="26"/>
      <c r="L28" s="26"/>
      <c r="M28" s="26"/>
      <c r="N28" s="26"/>
    </row>
    <row r="29" spans="1:14" ht="12.75" customHeight="1" x14ac:dyDescent="0.25">
      <c r="A29" s="13"/>
      <c r="B29" s="23" t="s">
        <v>28</v>
      </c>
      <c r="C29" s="25">
        <v>4087.78</v>
      </c>
      <c r="D29" s="25">
        <v>5012.04</v>
      </c>
      <c r="E29" s="152">
        <v>5568.31</v>
      </c>
      <c r="F29" s="19"/>
      <c r="G29" s="26"/>
      <c r="H29" s="26"/>
      <c r="I29" s="26"/>
      <c r="J29" s="26"/>
      <c r="K29" s="26"/>
      <c r="L29" s="26"/>
      <c r="M29" s="26"/>
      <c r="N29" s="26"/>
    </row>
    <row r="30" spans="1:14" x14ac:dyDescent="0.25">
      <c r="A30" s="13"/>
      <c r="B30" s="23" t="s">
        <v>29</v>
      </c>
      <c r="C30" s="25">
        <v>68.44</v>
      </c>
      <c r="D30" s="25">
        <v>300.58999999999997</v>
      </c>
      <c r="E30" s="152">
        <v>647.79</v>
      </c>
      <c r="F30" s="19"/>
      <c r="G30" s="26"/>
      <c r="H30" s="26"/>
      <c r="I30" s="26"/>
      <c r="J30" s="26"/>
      <c r="K30" s="26"/>
      <c r="L30" s="26"/>
      <c r="M30" s="26"/>
      <c r="N30" s="26"/>
    </row>
    <row r="31" spans="1:14" x14ac:dyDescent="0.25">
      <c r="A31" s="13"/>
      <c r="B31" s="23" t="s">
        <v>30</v>
      </c>
      <c r="C31" s="25">
        <v>820</v>
      </c>
      <c r="D31" s="25">
        <v>820</v>
      </c>
      <c r="E31" s="152">
        <v>820</v>
      </c>
      <c r="F31" s="19"/>
      <c r="G31" s="26"/>
      <c r="H31" s="26"/>
      <c r="I31" s="26"/>
      <c r="J31" s="26"/>
      <c r="K31" s="26"/>
      <c r="L31" s="26"/>
      <c r="M31" s="26"/>
      <c r="N31" s="26"/>
    </row>
    <row r="32" spans="1:14" x14ac:dyDescent="0.25">
      <c r="A32" s="13"/>
      <c r="B32" s="23" t="s">
        <v>31</v>
      </c>
      <c r="C32" s="25">
        <v>1550.88</v>
      </c>
      <c r="D32" s="25">
        <v>1851.47</v>
      </c>
      <c r="E32" s="152">
        <v>2499.27</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4" t="s">
        <v>245</v>
      </c>
      <c r="D37" s="17"/>
      <c r="E37" s="17"/>
      <c r="F37" s="17"/>
      <c r="G37" s="26"/>
      <c r="H37" s="26"/>
      <c r="I37" s="26"/>
      <c r="J37" s="26"/>
      <c r="K37" s="26"/>
      <c r="L37" s="26"/>
      <c r="M37" s="26"/>
      <c r="N37" s="26"/>
    </row>
    <row r="38" spans="1:14" x14ac:dyDescent="0.25">
      <c r="A38" s="13"/>
      <c r="B38" s="27" t="s">
        <v>37</v>
      </c>
      <c r="C38" s="134" t="s">
        <v>245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ht="27" customHeight="1" x14ac:dyDescent="0.25">
      <c r="A44" s="13"/>
      <c r="B44" s="21" t="s">
        <v>36</v>
      </c>
      <c r="C44" s="367" t="s">
        <v>797</v>
      </c>
      <c r="D44" s="367"/>
      <c r="E44" s="367"/>
      <c r="F44" s="17"/>
      <c r="G44" s="26"/>
      <c r="H44" s="26"/>
      <c r="I44" s="26"/>
      <c r="J44" s="26"/>
      <c r="K44" s="26"/>
      <c r="L44" s="26"/>
      <c r="M44" s="26"/>
      <c r="N44" s="26"/>
    </row>
    <row r="45" spans="1:14" x14ac:dyDescent="0.25">
      <c r="A45" s="13"/>
      <c r="B45" s="21" t="s">
        <v>37</v>
      </c>
      <c r="C45" s="367" t="s">
        <v>796</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76.5" customHeight="1" x14ac:dyDescent="0.25">
      <c r="A50" s="34"/>
      <c r="B50" s="94" t="s">
        <v>307</v>
      </c>
      <c r="C50" s="94" t="s">
        <v>308</v>
      </c>
      <c r="D50" s="94" t="s">
        <v>308</v>
      </c>
      <c r="E50" s="138" t="s">
        <v>126</v>
      </c>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t="s">
        <v>232</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ht="26.25" customHeight="1" x14ac:dyDescent="0.25">
      <c r="A55" s="34"/>
      <c r="B55" s="357" t="s">
        <v>50</v>
      </c>
      <c r="C55" s="394" t="s">
        <v>310</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ht="42" customHeight="1" x14ac:dyDescent="0.25">
      <c r="A57" s="29"/>
      <c r="B57" s="39" t="s">
        <v>54</v>
      </c>
      <c r="C57" s="344" t="s">
        <v>310</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309</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311</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312</v>
      </c>
      <c r="D69" s="372" t="s">
        <v>313</v>
      </c>
      <c r="E69" s="336" t="s">
        <v>314</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42</v>
      </c>
      <c r="D71" s="53">
        <v>63</v>
      </c>
      <c r="E71" s="53">
        <v>75</v>
      </c>
      <c r="F71" s="53">
        <v>59</v>
      </c>
      <c r="G71" s="53">
        <v>81</v>
      </c>
      <c r="H71" s="53">
        <v>40</v>
      </c>
      <c r="I71" s="53">
        <v>27.15</v>
      </c>
      <c r="J71" s="53">
        <v>71.650000000000006</v>
      </c>
      <c r="K71" s="53">
        <v>26.7</v>
      </c>
      <c r="L71" s="53">
        <v>29</v>
      </c>
      <c r="M71" s="53">
        <v>44.9</v>
      </c>
      <c r="N71" s="53">
        <v>18.55</v>
      </c>
    </row>
    <row r="72" spans="1:14" ht="25.5" x14ac:dyDescent="0.2">
      <c r="A72" s="4"/>
      <c r="B72" s="21" t="s">
        <v>166</v>
      </c>
      <c r="C72" s="53">
        <v>8520.4</v>
      </c>
      <c r="D72" s="53">
        <v>8111.6</v>
      </c>
      <c r="E72" s="53">
        <v>8400.5</v>
      </c>
      <c r="F72" s="53">
        <v>9143.7999999999993</v>
      </c>
      <c r="G72" s="53">
        <v>8407.2000000000007</v>
      </c>
      <c r="H72" s="53">
        <v>8677.9</v>
      </c>
      <c r="I72" s="54">
        <v>10113.700000000001</v>
      </c>
      <c r="J72" s="54">
        <v>11171.55</v>
      </c>
      <c r="K72" s="56">
        <v>9075.15</v>
      </c>
      <c r="L72" s="53">
        <v>11623.9</v>
      </c>
      <c r="M72" s="53">
        <v>11760.2</v>
      </c>
      <c r="N72" s="53">
        <v>10004.549999999999</v>
      </c>
    </row>
    <row r="73" spans="1:14" x14ac:dyDescent="0.25">
      <c r="A73" s="4"/>
      <c r="B73" s="331" t="s">
        <v>315</v>
      </c>
      <c r="C73" s="390"/>
      <c r="D73" s="390"/>
      <c r="E73" s="390"/>
      <c r="F73" s="331"/>
      <c r="G73" s="331"/>
      <c r="H73" s="331"/>
      <c r="I73" s="331"/>
      <c r="J73" s="331"/>
      <c r="K73" s="331"/>
      <c r="L73" s="331"/>
      <c r="M73" s="331"/>
      <c r="N73" s="331"/>
    </row>
    <row r="74" spans="1:14" ht="13.5" x14ac:dyDescent="0.25">
      <c r="A74" s="4"/>
      <c r="B74" s="383" t="s">
        <v>156</v>
      </c>
      <c r="C74" s="383"/>
      <c r="D74" s="383"/>
      <c r="E74" s="383"/>
      <c r="F74" s="383"/>
      <c r="G74" s="383"/>
      <c r="H74" s="383"/>
      <c r="I74" s="383"/>
      <c r="J74" s="383"/>
      <c r="K74" s="383"/>
      <c r="L74" s="383"/>
      <c r="M74" s="383"/>
      <c r="N74" s="383"/>
    </row>
    <row r="75" spans="1:14" x14ac:dyDescent="0.25">
      <c r="A75" s="4"/>
      <c r="B75" s="382" t="s">
        <v>79</v>
      </c>
      <c r="C75" s="382"/>
      <c r="D75" s="382"/>
      <c r="E75" s="382"/>
      <c r="F75" s="382"/>
      <c r="G75" s="382"/>
      <c r="H75" s="382"/>
      <c r="I75" s="382"/>
      <c r="J75" s="382"/>
      <c r="K75" s="382"/>
      <c r="L75" s="382"/>
      <c r="M75" s="382"/>
      <c r="N75" s="382"/>
    </row>
    <row r="76" spans="1:14" s="57" customFormat="1" x14ac:dyDescent="0.25">
      <c r="B76" s="382" t="s">
        <v>80</v>
      </c>
      <c r="C76" s="382"/>
      <c r="D76" s="382"/>
      <c r="E76" s="382"/>
      <c r="F76" s="382"/>
      <c r="G76" s="382"/>
      <c r="H76" s="382"/>
      <c r="I76" s="382"/>
      <c r="J76" s="382"/>
      <c r="K76" s="382"/>
      <c r="L76" s="382"/>
      <c r="M76" s="382"/>
      <c r="N76" s="382"/>
    </row>
    <row r="77" spans="1:14" x14ac:dyDescent="0.25">
      <c r="A77" s="4"/>
      <c r="B77" s="382" t="s">
        <v>117</v>
      </c>
      <c r="C77" s="382"/>
      <c r="D77" s="382"/>
      <c r="E77" s="382"/>
      <c r="F77" s="382"/>
      <c r="G77" s="382"/>
      <c r="H77" s="382"/>
      <c r="I77" s="382"/>
      <c r="J77" s="382"/>
      <c r="K77" s="382"/>
      <c r="L77" s="382"/>
      <c r="M77" s="382"/>
      <c r="N77" s="382"/>
    </row>
    <row r="78" spans="1:14" x14ac:dyDescent="0.25">
      <c r="A78" s="4"/>
      <c r="B78" s="382" t="s">
        <v>82</v>
      </c>
      <c r="C78" s="382"/>
      <c r="D78" s="382"/>
      <c r="E78" s="382"/>
      <c r="F78" s="382"/>
      <c r="G78" s="382"/>
      <c r="H78" s="382"/>
      <c r="I78" s="382"/>
      <c r="J78" s="382"/>
      <c r="K78" s="382"/>
      <c r="L78" s="382"/>
      <c r="M78" s="382"/>
      <c r="N78" s="382"/>
    </row>
    <row r="79" spans="1:14" x14ac:dyDescent="0.25">
      <c r="A79" s="4"/>
      <c r="B79" s="58"/>
      <c r="C79" s="58"/>
      <c r="D79" s="58"/>
      <c r="E79" s="58"/>
      <c r="F79" s="58"/>
      <c r="G79" s="17"/>
      <c r="H79" s="17"/>
      <c r="I79" s="17"/>
      <c r="J79" s="17"/>
      <c r="K79" s="17"/>
      <c r="L79" s="17"/>
      <c r="M79" s="17"/>
      <c r="N79" s="17"/>
    </row>
    <row r="80" spans="1:14" x14ac:dyDescent="0.25">
      <c r="A80" s="13">
        <v>13</v>
      </c>
      <c r="B80" s="338" t="s">
        <v>83</v>
      </c>
      <c r="C80" s="339"/>
      <c r="D80" s="339"/>
      <c r="E80" s="339"/>
      <c r="F80" s="339"/>
      <c r="G80" s="340"/>
      <c r="H80" s="15"/>
      <c r="I80" s="15"/>
      <c r="J80" s="15"/>
      <c r="K80" s="15"/>
      <c r="L80" s="15"/>
      <c r="M80" s="15"/>
      <c r="N80" s="15"/>
    </row>
    <row r="81" spans="1:14" x14ac:dyDescent="0.25">
      <c r="A81" s="13"/>
      <c r="B81" s="26"/>
      <c r="C81" s="19"/>
      <c r="D81" s="19"/>
      <c r="E81" s="19"/>
      <c r="F81" s="19"/>
      <c r="G81" s="19"/>
      <c r="H81" s="19"/>
      <c r="I81" s="19"/>
      <c r="J81" s="19"/>
      <c r="K81" s="19"/>
      <c r="L81" s="19"/>
      <c r="M81" s="19"/>
      <c r="N81" s="19"/>
    </row>
    <row r="82" spans="1:14" ht="51" x14ac:dyDescent="0.25">
      <c r="A82" s="4"/>
      <c r="B82" s="59" t="s">
        <v>84</v>
      </c>
      <c r="C82" s="22" t="s">
        <v>85</v>
      </c>
      <c r="D82" s="22" t="s">
        <v>86</v>
      </c>
      <c r="E82" s="22" t="s">
        <v>280</v>
      </c>
      <c r="F82" s="22" t="s">
        <v>88</v>
      </c>
      <c r="G82" s="22" t="s">
        <v>169</v>
      </c>
      <c r="H82" s="17"/>
      <c r="I82" s="17"/>
      <c r="J82" s="17"/>
      <c r="K82" s="17"/>
      <c r="L82" s="17"/>
      <c r="M82" s="17"/>
      <c r="N82" s="17"/>
    </row>
    <row r="83" spans="1:14" ht="12.75" customHeight="1" x14ac:dyDescent="0.2">
      <c r="A83" s="4"/>
      <c r="B83" s="316" t="s">
        <v>90</v>
      </c>
      <c r="C83" s="5" t="s">
        <v>316</v>
      </c>
      <c r="D83" s="91">
        <v>9.56</v>
      </c>
      <c r="E83" s="80">
        <v>0.83</v>
      </c>
      <c r="F83" s="80">
        <v>3.67</v>
      </c>
      <c r="G83" s="113">
        <v>7.9</v>
      </c>
      <c r="H83" s="62"/>
      <c r="I83" s="62"/>
      <c r="J83" s="62"/>
      <c r="K83" s="62"/>
      <c r="L83" s="62"/>
      <c r="M83" s="62"/>
      <c r="N83" s="62"/>
    </row>
    <row r="84" spans="1:14" x14ac:dyDescent="0.25">
      <c r="A84" s="4"/>
      <c r="B84" s="316"/>
      <c r="C84" s="5" t="s">
        <v>92</v>
      </c>
      <c r="D84" s="92" t="s">
        <v>126</v>
      </c>
      <c r="E84" s="159" t="s">
        <v>126</v>
      </c>
      <c r="F84" s="159" t="s">
        <v>126</v>
      </c>
      <c r="G84" s="159" t="s">
        <v>126</v>
      </c>
      <c r="H84" s="62"/>
      <c r="I84" s="62"/>
      <c r="J84" s="62"/>
      <c r="K84" s="62"/>
      <c r="L84" s="62"/>
      <c r="M84" s="62"/>
      <c r="N84" s="62"/>
    </row>
    <row r="85" spans="1:14" x14ac:dyDescent="0.25">
      <c r="A85" s="4"/>
      <c r="B85" s="316"/>
      <c r="C85" s="25" t="s">
        <v>317</v>
      </c>
      <c r="D85" s="92">
        <v>4.4000000000000004</v>
      </c>
      <c r="E85" s="80">
        <v>3.13</v>
      </c>
      <c r="F85" s="80">
        <v>2.4500000000000002</v>
      </c>
      <c r="G85" s="113">
        <v>10.64</v>
      </c>
      <c r="H85" s="62"/>
      <c r="I85" s="62"/>
      <c r="J85" s="62"/>
      <c r="K85" s="62"/>
      <c r="L85" s="62"/>
      <c r="M85" s="62"/>
      <c r="N85" s="62"/>
    </row>
    <row r="86" spans="1:14" x14ac:dyDescent="0.25">
      <c r="A86" s="4"/>
      <c r="B86" s="316"/>
      <c r="C86" s="25" t="s">
        <v>318</v>
      </c>
      <c r="D86" s="92">
        <v>4.9000000000000004</v>
      </c>
      <c r="E86" s="80">
        <v>5.0599999999999996</v>
      </c>
      <c r="F86" s="122">
        <v>0</v>
      </c>
      <c r="G86" s="122">
        <v>0</v>
      </c>
      <c r="H86" s="62"/>
      <c r="I86" s="62"/>
      <c r="J86" s="62"/>
      <c r="K86" s="62"/>
      <c r="L86" s="62"/>
      <c r="M86" s="62"/>
      <c r="N86" s="62"/>
    </row>
    <row r="87" spans="1:14" x14ac:dyDescent="0.25">
      <c r="A87" s="4"/>
      <c r="B87" s="316"/>
      <c r="C87" s="5" t="s">
        <v>93</v>
      </c>
      <c r="D87" s="164">
        <f>D85+D86/2</f>
        <v>6.8500000000000005</v>
      </c>
      <c r="E87" s="165">
        <f>E85+E86/2</f>
        <v>5.66</v>
      </c>
      <c r="F87" s="165">
        <f>F85+F86/2</f>
        <v>2.4500000000000002</v>
      </c>
      <c r="G87" s="165">
        <f>G85+G86/2</f>
        <v>10.64</v>
      </c>
      <c r="H87" s="62"/>
      <c r="I87" s="62"/>
      <c r="J87" s="62"/>
      <c r="K87" s="62"/>
      <c r="L87" s="62"/>
      <c r="M87" s="62"/>
      <c r="N87" s="62"/>
    </row>
    <row r="88" spans="1:14" x14ac:dyDescent="0.2">
      <c r="A88" s="4"/>
      <c r="B88" s="316" t="s">
        <v>94</v>
      </c>
      <c r="C88" s="5" t="s">
        <v>316</v>
      </c>
      <c r="D88" s="93">
        <v>3.66</v>
      </c>
      <c r="E88" s="80">
        <v>71.08</v>
      </c>
      <c r="F88" s="85">
        <f>27.15/3.67</f>
        <v>7.3978201634877383</v>
      </c>
      <c r="G88" s="53">
        <f>L71/G83</f>
        <v>3.6708860759493671</v>
      </c>
      <c r="H88" s="62"/>
      <c r="I88" s="62"/>
      <c r="J88" s="62"/>
      <c r="K88" s="62"/>
      <c r="L88" s="62"/>
      <c r="M88" s="62"/>
      <c r="N88" s="62"/>
    </row>
    <row r="89" spans="1:14" x14ac:dyDescent="0.25">
      <c r="A89" s="4"/>
      <c r="B89" s="316"/>
      <c r="C89" s="5" t="s">
        <v>92</v>
      </c>
      <c r="D89" s="92" t="s">
        <v>126</v>
      </c>
      <c r="E89" s="80"/>
      <c r="F89" s="80"/>
      <c r="G89" s="113"/>
      <c r="H89" s="62"/>
      <c r="I89" s="62"/>
      <c r="J89" s="62"/>
      <c r="K89" s="62"/>
      <c r="L89" s="62"/>
      <c r="M89" s="62"/>
      <c r="N89" s="62"/>
    </row>
    <row r="90" spans="1:14" x14ac:dyDescent="0.25">
      <c r="A90" s="4"/>
      <c r="B90" s="316"/>
      <c r="C90" s="25" t="s">
        <v>317</v>
      </c>
      <c r="D90" s="92">
        <v>14.4</v>
      </c>
      <c r="E90" s="80">
        <v>24.36</v>
      </c>
      <c r="F90" s="85">
        <f>116.85/2.45</f>
        <v>47.6938775510204</v>
      </c>
      <c r="G90" s="160">
        <f>138.45/G85</f>
        <v>13.01221804511278</v>
      </c>
      <c r="H90" s="62"/>
      <c r="I90" s="62"/>
      <c r="J90" s="62"/>
      <c r="K90" s="62"/>
      <c r="L90" s="62"/>
      <c r="M90" s="62"/>
      <c r="N90" s="62"/>
    </row>
    <row r="91" spans="1:14" x14ac:dyDescent="0.25">
      <c r="A91" s="4"/>
      <c r="B91" s="316"/>
      <c r="C91" s="25" t="s">
        <v>318</v>
      </c>
      <c r="D91" s="92">
        <v>33.9</v>
      </c>
      <c r="E91" s="80">
        <v>25.54</v>
      </c>
      <c r="F91" s="122">
        <v>0</v>
      </c>
      <c r="G91" s="113">
        <v>0</v>
      </c>
      <c r="H91" s="62"/>
      <c r="I91" s="62"/>
      <c r="J91" s="62"/>
      <c r="K91" s="62"/>
      <c r="L91" s="62"/>
      <c r="M91" s="62"/>
      <c r="N91" s="62"/>
    </row>
    <row r="92" spans="1:14" x14ac:dyDescent="0.25">
      <c r="A92" s="4"/>
      <c r="B92" s="316"/>
      <c r="C92" s="5" t="s">
        <v>93</v>
      </c>
      <c r="D92" s="164">
        <f>D90+D91/2</f>
        <v>31.35</v>
      </c>
      <c r="E92" s="165">
        <f>E90+E91/2</f>
        <v>37.129999999999995</v>
      </c>
      <c r="F92" s="165">
        <f>F90+F91/2</f>
        <v>47.6938775510204</v>
      </c>
      <c r="G92" s="165">
        <f>G90+G91/2</f>
        <v>13.01221804511278</v>
      </c>
      <c r="H92" s="62"/>
      <c r="I92" s="62"/>
      <c r="J92" s="62"/>
      <c r="K92" s="62"/>
      <c r="L92" s="62"/>
      <c r="M92" s="62"/>
      <c r="N92" s="62"/>
    </row>
    <row r="93" spans="1:14" x14ac:dyDescent="0.2">
      <c r="A93" s="4"/>
      <c r="B93" s="316" t="s">
        <v>95</v>
      </c>
      <c r="C93" s="5" t="s">
        <v>316</v>
      </c>
      <c r="D93" s="91">
        <v>37.6</v>
      </c>
      <c r="E93" s="80">
        <v>2.89</v>
      </c>
      <c r="F93" s="86">
        <f>6844090/267147963</f>
        <v>2.5619098581709941E-2</v>
      </c>
      <c r="G93" s="53">
        <f>64778950/331926913*100</f>
        <v>19.516028216729747</v>
      </c>
      <c r="H93" s="62"/>
      <c r="I93" s="62"/>
      <c r="J93" s="62"/>
      <c r="K93" s="62"/>
      <c r="L93" s="62"/>
      <c r="M93" s="62"/>
      <c r="N93" s="62"/>
    </row>
    <row r="94" spans="1:14" x14ac:dyDescent="0.25">
      <c r="A94" s="4"/>
      <c r="B94" s="316"/>
      <c r="C94" s="5" t="s">
        <v>92</v>
      </c>
      <c r="D94" s="92" t="s">
        <v>126</v>
      </c>
      <c r="E94" s="80"/>
      <c r="F94" s="80"/>
      <c r="G94" s="113"/>
      <c r="H94" s="62"/>
      <c r="I94" s="62"/>
      <c r="J94" s="62"/>
      <c r="K94" s="62"/>
      <c r="L94" s="62"/>
      <c r="M94" s="62"/>
      <c r="N94" s="62"/>
    </row>
    <row r="95" spans="1:14" x14ac:dyDescent="0.25">
      <c r="A95" s="4"/>
      <c r="B95" s="316"/>
      <c r="C95" s="25" t="s">
        <v>317</v>
      </c>
      <c r="D95" s="92">
        <v>1.7</v>
      </c>
      <c r="E95" s="80">
        <v>2.42</v>
      </c>
      <c r="F95" s="86">
        <f>706.7/37936.53</f>
        <v>1.8628482889710789E-2</v>
      </c>
      <c r="G95" s="53">
        <f>3056.83/41000.87*100</f>
        <v>7.4555247242314602</v>
      </c>
      <c r="H95" s="62"/>
      <c r="I95" s="62"/>
      <c r="J95" s="62"/>
      <c r="K95" s="62"/>
      <c r="L95" s="62"/>
      <c r="M95" s="62"/>
      <c r="N95" s="62"/>
    </row>
    <row r="96" spans="1:14" x14ac:dyDescent="0.25">
      <c r="A96" s="4"/>
      <c r="B96" s="316"/>
      <c r="C96" s="25" t="s">
        <v>318</v>
      </c>
      <c r="D96" s="92">
        <v>14.3</v>
      </c>
      <c r="E96" s="80">
        <v>10.28</v>
      </c>
      <c r="F96" s="122">
        <v>0</v>
      </c>
      <c r="G96" s="113">
        <v>0</v>
      </c>
      <c r="H96" s="62"/>
      <c r="I96" s="62"/>
      <c r="J96" s="62"/>
      <c r="K96" s="62"/>
      <c r="L96" s="62"/>
      <c r="M96" s="62"/>
      <c r="N96" s="62"/>
    </row>
    <row r="97" spans="1:14" x14ac:dyDescent="0.25">
      <c r="A97" s="4"/>
      <c r="B97" s="316"/>
      <c r="C97" s="5" t="s">
        <v>93</v>
      </c>
      <c r="D97" s="164">
        <f>D95+D96/2</f>
        <v>8.85</v>
      </c>
      <c r="E97" s="165">
        <f>E95+E96/2</f>
        <v>7.56</v>
      </c>
      <c r="F97" s="165">
        <f>F95+F96/2</f>
        <v>1.8628482889710789E-2</v>
      </c>
      <c r="G97" s="165">
        <f>G95+G96/2</f>
        <v>7.4555247242314602</v>
      </c>
      <c r="H97" s="62"/>
      <c r="I97" s="62"/>
      <c r="J97" s="62"/>
      <c r="K97" s="66"/>
      <c r="L97" s="62"/>
      <c r="M97" s="62"/>
      <c r="N97" s="62"/>
    </row>
    <row r="98" spans="1:14" x14ac:dyDescent="0.2">
      <c r="A98" s="4"/>
      <c r="B98" s="316" t="s">
        <v>96</v>
      </c>
      <c r="C98" s="5" t="s">
        <v>316</v>
      </c>
      <c r="D98" s="91">
        <v>76.31</v>
      </c>
      <c r="E98" s="80">
        <v>28.91</v>
      </c>
      <c r="F98" s="85">
        <f>267147963/8200000</f>
        <v>32.579019878048783</v>
      </c>
      <c r="G98" s="53">
        <f>331926913/8200000</f>
        <v>40.478891829268292</v>
      </c>
      <c r="H98" s="62"/>
      <c r="I98" s="62"/>
      <c r="J98" s="62"/>
      <c r="K98" s="62"/>
      <c r="L98" s="62"/>
      <c r="M98" s="62"/>
      <c r="N98" s="62"/>
    </row>
    <row r="99" spans="1:14" x14ac:dyDescent="0.25">
      <c r="A99" s="4"/>
      <c r="B99" s="316"/>
      <c r="C99" s="5" t="s">
        <v>92</v>
      </c>
      <c r="D99" s="92" t="s">
        <v>126</v>
      </c>
      <c r="E99" s="80"/>
      <c r="F99" s="80"/>
      <c r="G99" s="113"/>
      <c r="H99" s="62"/>
      <c r="I99" s="62"/>
      <c r="J99" s="62"/>
      <c r="K99" s="62"/>
      <c r="L99" s="62"/>
      <c r="M99" s="62"/>
      <c r="N99" s="62"/>
    </row>
    <row r="100" spans="1:14" x14ac:dyDescent="0.25">
      <c r="A100" s="4"/>
      <c r="B100" s="386"/>
      <c r="C100" s="25" t="s">
        <v>317</v>
      </c>
      <c r="D100" s="92">
        <v>127.6</v>
      </c>
      <c r="E100" s="80">
        <v>129.37</v>
      </c>
      <c r="F100" s="85">
        <f>37936.53/287.993</f>
        <v>131.7272642043383</v>
      </c>
      <c r="G100" s="53">
        <f>(41000.87*100000)/28799300</f>
        <v>142.36759226786765</v>
      </c>
      <c r="H100" s="62"/>
      <c r="I100" s="62"/>
      <c r="J100" s="62"/>
      <c r="K100" s="62"/>
      <c r="L100" s="62"/>
      <c r="M100" s="62"/>
      <c r="N100" s="62"/>
    </row>
    <row r="101" spans="1:14" x14ac:dyDescent="0.25">
      <c r="A101" s="4"/>
      <c r="B101" s="386"/>
      <c r="C101" s="25" t="s">
        <v>318</v>
      </c>
      <c r="D101" s="92">
        <v>46</v>
      </c>
      <c r="E101" s="80">
        <v>49.25</v>
      </c>
      <c r="F101" s="122">
        <v>0</v>
      </c>
      <c r="G101" s="122">
        <v>0</v>
      </c>
      <c r="H101" s="62"/>
      <c r="I101" s="62"/>
      <c r="J101" s="62"/>
      <c r="K101" s="62"/>
      <c r="L101" s="62"/>
      <c r="M101" s="62"/>
      <c r="N101" s="62"/>
    </row>
    <row r="102" spans="1:14" x14ac:dyDescent="0.25">
      <c r="A102" s="4"/>
      <c r="B102" s="386"/>
      <c r="C102" s="5" t="s">
        <v>93</v>
      </c>
      <c r="D102" s="164">
        <f>D100+D101/2</f>
        <v>150.6</v>
      </c>
      <c r="E102" s="165">
        <f>E100+E101/2</f>
        <v>153.995</v>
      </c>
      <c r="F102" s="165">
        <f>F100+F101/2</f>
        <v>131.7272642043383</v>
      </c>
      <c r="G102" s="165">
        <f>G100+G101/2</f>
        <v>142.36759226786765</v>
      </c>
      <c r="H102" s="62"/>
      <c r="I102" s="62"/>
      <c r="J102" s="62"/>
      <c r="K102" s="62"/>
      <c r="L102" s="62"/>
      <c r="M102" s="62"/>
      <c r="N102" s="62"/>
    </row>
    <row r="103" spans="1:14" s="57" customFormat="1" x14ac:dyDescent="0.25">
      <c r="B103" s="387"/>
      <c r="C103" s="388"/>
      <c r="D103" s="388"/>
      <c r="E103" s="388"/>
      <c r="F103" s="388"/>
      <c r="G103" s="389"/>
    </row>
    <row r="104" spans="1:14" x14ac:dyDescent="0.25">
      <c r="A104" s="4"/>
      <c r="B104" s="376" t="s">
        <v>319</v>
      </c>
      <c r="C104" s="377"/>
      <c r="D104" s="377"/>
      <c r="E104" s="377"/>
      <c r="F104" s="377"/>
      <c r="G104" s="378"/>
      <c r="H104" s="62"/>
      <c r="I104" s="62"/>
      <c r="J104" s="62"/>
      <c r="K104" s="62"/>
      <c r="L104" s="62"/>
      <c r="M104" s="62"/>
      <c r="N104" s="62"/>
    </row>
    <row r="105" spans="1:14" x14ac:dyDescent="0.25">
      <c r="A105" s="4"/>
      <c r="B105" s="379" t="s">
        <v>128</v>
      </c>
      <c r="C105" s="380"/>
      <c r="D105" s="380"/>
      <c r="E105" s="380"/>
      <c r="F105" s="380"/>
      <c r="G105" s="381"/>
      <c r="H105" s="62"/>
      <c r="I105" s="62"/>
      <c r="J105" s="62"/>
      <c r="K105" s="62"/>
      <c r="L105" s="62"/>
      <c r="M105" s="62"/>
      <c r="N105" s="62"/>
    </row>
    <row r="106" spans="1:14" x14ac:dyDescent="0.25">
      <c r="A106" s="4"/>
      <c r="B106" s="353"/>
      <c r="C106" s="354"/>
      <c r="D106" s="354"/>
      <c r="E106" s="354"/>
      <c r="F106" s="354"/>
      <c r="G106" s="355"/>
      <c r="H106" s="62"/>
      <c r="I106" s="62"/>
      <c r="J106" s="62"/>
      <c r="K106" s="62"/>
      <c r="L106" s="62"/>
      <c r="M106" s="62"/>
      <c r="N106" s="62"/>
    </row>
    <row r="107" spans="1:14" x14ac:dyDescent="0.25">
      <c r="A107" s="26"/>
      <c r="B107" s="12"/>
      <c r="C107" s="323"/>
      <c r="D107" s="323"/>
      <c r="E107" s="323"/>
      <c r="F107" s="323"/>
      <c r="G107" s="323"/>
      <c r="H107" s="62"/>
      <c r="I107" s="62"/>
      <c r="J107" s="26"/>
      <c r="K107" s="26"/>
      <c r="L107" s="26"/>
      <c r="M107" s="26"/>
      <c r="N107" s="26"/>
    </row>
    <row r="108" spans="1:14" x14ac:dyDescent="0.25">
      <c r="A108" s="13">
        <v>14</v>
      </c>
      <c r="B108" s="70" t="s">
        <v>99</v>
      </c>
      <c r="C108" s="324" t="s">
        <v>48</v>
      </c>
      <c r="D108" s="325"/>
      <c r="E108" s="325"/>
      <c r="F108" s="325"/>
      <c r="G108" s="326"/>
      <c r="H108" s="26"/>
      <c r="I108" s="26"/>
      <c r="J108" s="26"/>
      <c r="K108" s="26"/>
      <c r="L108" s="26"/>
      <c r="M108" s="26"/>
      <c r="N108" s="26"/>
    </row>
    <row r="109" spans="1:14" x14ac:dyDescent="0.25">
      <c r="A109" s="71"/>
      <c r="B109" s="26"/>
      <c r="C109" s="84"/>
      <c r="D109" s="84"/>
      <c r="E109" s="84"/>
      <c r="F109" s="84"/>
      <c r="G109" s="84"/>
      <c r="H109" s="26"/>
      <c r="I109" s="26"/>
      <c r="J109" s="26"/>
      <c r="K109" s="26"/>
      <c r="L109" s="26"/>
      <c r="M109" s="26"/>
      <c r="N109" s="26"/>
    </row>
    <row r="110" spans="1:14" x14ac:dyDescent="0.25">
      <c r="A110" s="26"/>
      <c r="B110" s="374" t="s">
        <v>320</v>
      </c>
      <c r="C110" s="375"/>
      <c r="D110" s="375"/>
      <c r="E110" s="375"/>
      <c r="F110" s="375"/>
      <c r="G110" s="375"/>
      <c r="H110" s="375"/>
      <c r="I110" s="26"/>
      <c r="J110" s="26"/>
      <c r="K110" s="26"/>
      <c r="L110" s="26"/>
      <c r="M110" s="26"/>
      <c r="N110" s="26"/>
    </row>
    <row r="111" spans="1:14" x14ac:dyDescent="0.25">
      <c r="A111" s="26"/>
      <c r="I111" s="26"/>
      <c r="J111" s="26"/>
      <c r="K111" s="26"/>
      <c r="L111" s="26"/>
      <c r="M111" s="26"/>
      <c r="N111" s="26"/>
    </row>
    <row r="112" spans="1:14" x14ac:dyDescent="0.25">
      <c r="A112" s="26"/>
      <c r="J112" s="26"/>
      <c r="K112" s="26"/>
      <c r="L112" s="26"/>
      <c r="M112" s="26"/>
      <c r="N112" s="26"/>
    </row>
  </sheetData>
  <sheetProtection password="E9DF" sheet="1" objects="1" scenarios="1"/>
  <mergeCells count="60">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55:B56"/>
    <mergeCell ref="C55:E56"/>
    <mergeCell ref="B35:E35"/>
    <mergeCell ref="B39:C39"/>
    <mergeCell ref="B42:E42"/>
    <mergeCell ref="C43:E43"/>
    <mergeCell ref="C44:E44"/>
    <mergeCell ref="C45:E45"/>
    <mergeCell ref="B46:E46"/>
    <mergeCell ref="B48:E48"/>
    <mergeCell ref="B51:E51"/>
    <mergeCell ref="B52:E52"/>
    <mergeCell ref="B54:E54"/>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76:N76"/>
    <mergeCell ref="B77:N77"/>
    <mergeCell ref="B78:N78"/>
    <mergeCell ref="B80:G80"/>
    <mergeCell ref="B83:B87"/>
    <mergeCell ref="B88:B92"/>
    <mergeCell ref="B93:B97"/>
    <mergeCell ref="B98:B102"/>
    <mergeCell ref="B110:H110"/>
    <mergeCell ref="B103:G103"/>
    <mergeCell ref="B104:G104"/>
    <mergeCell ref="B105:G105"/>
    <mergeCell ref="B106:G106"/>
    <mergeCell ref="C107:G107"/>
    <mergeCell ref="C108:G10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workbookViewId="0">
      <selection activeCell="B24" sqref="B24"/>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8" width="10.42578125" style="73" bestFit="1" customWidth="1"/>
    <col min="9"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321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322</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323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305</v>
      </c>
      <c r="C19" s="373" t="s">
        <v>16</v>
      </c>
      <c r="D19" s="373"/>
      <c r="E19" s="37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30" customHeight="1" x14ac:dyDescent="0.25">
      <c r="A26" s="13">
        <v>6</v>
      </c>
      <c r="B26" s="333" t="s">
        <v>798</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137" t="s">
        <v>26</v>
      </c>
      <c r="E28" s="137" t="s">
        <v>355</v>
      </c>
      <c r="F28" s="19"/>
      <c r="G28" s="26"/>
      <c r="H28" s="26"/>
      <c r="I28" s="26"/>
      <c r="J28" s="26"/>
      <c r="K28" s="26"/>
      <c r="L28" s="26"/>
      <c r="M28" s="26"/>
      <c r="N28" s="26"/>
    </row>
    <row r="29" spans="1:14" x14ac:dyDescent="0.25">
      <c r="A29" s="13"/>
      <c r="B29" s="23" t="s">
        <v>28</v>
      </c>
      <c r="C29" s="25">
        <v>289.75</v>
      </c>
      <c r="D29" s="113">
        <v>626.45000000000005</v>
      </c>
      <c r="E29" s="113">
        <v>1005.89</v>
      </c>
      <c r="F29" s="19"/>
      <c r="G29" s="26"/>
      <c r="H29" s="26"/>
      <c r="I29" s="26"/>
      <c r="J29" s="26"/>
      <c r="K29" s="26"/>
      <c r="L29" s="26"/>
      <c r="M29" s="26"/>
      <c r="N29" s="26"/>
    </row>
    <row r="30" spans="1:14" x14ac:dyDescent="0.25">
      <c r="A30" s="13"/>
      <c r="B30" s="23" t="s">
        <v>29</v>
      </c>
      <c r="C30" s="25">
        <v>122.54</v>
      </c>
      <c r="D30" s="113">
        <v>413.77</v>
      </c>
      <c r="E30" s="113">
        <v>194.56</v>
      </c>
      <c r="F30" s="19"/>
      <c r="G30" s="26"/>
      <c r="H30" s="26"/>
      <c r="I30" s="26"/>
      <c r="J30" s="26"/>
      <c r="K30" s="26"/>
      <c r="L30" s="26"/>
      <c r="M30" s="26"/>
      <c r="N30" s="26"/>
    </row>
    <row r="31" spans="1:14" x14ac:dyDescent="0.25">
      <c r="A31" s="13"/>
      <c r="B31" s="23" t="s">
        <v>30</v>
      </c>
      <c r="C31" s="25">
        <v>1744.68</v>
      </c>
      <c r="D31" s="113">
        <v>1744.68</v>
      </c>
      <c r="E31" s="113">
        <v>1744.68</v>
      </c>
      <c r="F31" s="19"/>
      <c r="G31" s="26"/>
      <c r="H31" s="26"/>
      <c r="I31" s="26"/>
      <c r="J31" s="26"/>
      <c r="K31" s="26"/>
      <c r="L31" s="26"/>
      <c r="M31" s="26"/>
      <c r="N31" s="26"/>
    </row>
    <row r="32" spans="1:14" x14ac:dyDescent="0.25">
      <c r="A32" s="13"/>
      <c r="B32" s="23" t="s">
        <v>31</v>
      </c>
      <c r="C32" s="25">
        <v>3843.14</v>
      </c>
      <c r="D32" s="113">
        <v>3775.75</v>
      </c>
      <c r="E32" s="113">
        <v>3970.31</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4" t="s">
        <v>245</v>
      </c>
      <c r="D37" s="17"/>
      <c r="E37" s="17"/>
      <c r="F37" s="17"/>
      <c r="G37" s="26"/>
      <c r="H37" s="26"/>
      <c r="I37" s="26"/>
      <c r="J37" s="26"/>
      <c r="K37" s="26"/>
      <c r="L37" s="26"/>
      <c r="M37" s="26"/>
      <c r="N37" s="26"/>
    </row>
    <row r="38" spans="1:14" x14ac:dyDescent="0.25">
      <c r="A38" s="13"/>
      <c r="B38" s="27" t="s">
        <v>37</v>
      </c>
      <c r="C38" s="134" t="s">
        <v>245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x14ac:dyDescent="0.25">
      <c r="A44" s="13"/>
      <c r="B44" s="21" t="s">
        <v>36</v>
      </c>
      <c r="C44" s="350" t="s">
        <v>16</v>
      </c>
      <c r="D44" s="351"/>
      <c r="E44" s="352"/>
      <c r="F44" s="17"/>
      <c r="G44" s="26"/>
      <c r="H44" s="26"/>
      <c r="I44" s="26"/>
      <c r="J44" s="26"/>
      <c r="K44" s="26"/>
      <c r="L44" s="26"/>
      <c r="M44" s="26"/>
      <c r="N44" s="26"/>
    </row>
    <row r="45" spans="1:14" x14ac:dyDescent="0.25">
      <c r="A45" s="13"/>
      <c r="B45" s="21" t="s">
        <v>37</v>
      </c>
      <c r="C45" s="367" t="s">
        <v>799</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327</v>
      </c>
      <c r="C50" s="94" t="s">
        <v>328</v>
      </c>
      <c r="D50" s="33"/>
      <c r="E50" s="32"/>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t="s">
        <v>329</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330</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248</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329</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331</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332</v>
      </c>
      <c r="D69" s="372" t="s">
        <v>333</v>
      </c>
      <c r="E69" s="336" t="s">
        <v>294</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22.9</v>
      </c>
      <c r="D71" s="54">
        <v>22.75</v>
      </c>
      <c r="E71" s="54">
        <v>21</v>
      </c>
      <c r="F71" s="54">
        <v>20.05</v>
      </c>
      <c r="G71" s="54">
        <v>26</v>
      </c>
      <c r="H71" s="53">
        <v>17.5</v>
      </c>
      <c r="I71" s="53">
        <v>19.75</v>
      </c>
      <c r="J71" s="53">
        <v>23.75</v>
      </c>
      <c r="K71" s="53">
        <v>16.25</v>
      </c>
      <c r="L71" s="53">
        <v>30.1</v>
      </c>
      <c r="M71" s="53">
        <v>34</v>
      </c>
      <c r="N71" s="53">
        <v>20.5</v>
      </c>
    </row>
    <row r="72" spans="1:14" ht="25.5" x14ac:dyDescent="0.25">
      <c r="A72" s="4"/>
      <c r="B72" s="21" t="s">
        <v>166</v>
      </c>
      <c r="C72" s="53">
        <v>8677.9</v>
      </c>
      <c r="D72" s="53">
        <v>8111.6</v>
      </c>
      <c r="E72" s="53">
        <v>8412.7999999999993</v>
      </c>
      <c r="F72" s="54">
        <v>9173.75</v>
      </c>
      <c r="G72" s="54">
        <v>8659.1</v>
      </c>
      <c r="H72" s="54">
        <v>9030.4500000000007</v>
      </c>
      <c r="I72" s="54">
        <v>10113.700000000001</v>
      </c>
      <c r="J72" s="54">
        <v>11171.55</v>
      </c>
      <c r="K72" s="54">
        <v>9075.15</v>
      </c>
      <c r="L72" s="53">
        <v>11623.9</v>
      </c>
      <c r="M72" s="53">
        <v>11760.2</v>
      </c>
      <c r="N72" s="53">
        <v>10004.549999999999</v>
      </c>
    </row>
    <row r="73" spans="1:14" ht="13.5" x14ac:dyDescent="0.25">
      <c r="A73" s="4"/>
      <c r="B73" s="383" t="s">
        <v>156</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117</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102" x14ac:dyDescent="0.25">
      <c r="A81" s="4"/>
      <c r="B81" s="59" t="s">
        <v>84</v>
      </c>
      <c r="C81" s="22" t="s">
        <v>85</v>
      </c>
      <c r="D81" s="22" t="s">
        <v>86</v>
      </c>
      <c r="E81" s="22" t="s">
        <v>280</v>
      </c>
      <c r="F81" s="22" t="s">
        <v>88</v>
      </c>
      <c r="G81" s="22" t="s">
        <v>169</v>
      </c>
      <c r="H81" s="17"/>
      <c r="I81" s="17"/>
      <c r="J81" s="17"/>
      <c r="K81" s="17"/>
      <c r="L81" s="17"/>
      <c r="M81" s="17"/>
      <c r="N81" s="17"/>
    </row>
    <row r="82" spans="1:14" x14ac:dyDescent="0.2">
      <c r="A82" s="4"/>
      <c r="B82" s="316" t="s">
        <v>90</v>
      </c>
      <c r="C82" s="5" t="s">
        <v>334</v>
      </c>
      <c r="D82" s="91">
        <v>1.51</v>
      </c>
      <c r="E82" s="80">
        <v>0.7</v>
      </c>
      <c r="F82" s="25">
        <v>1.85</v>
      </c>
      <c r="G82" s="25">
        <v>1.1200000000000001</v>
      </c>
      <c r="H82" s="62"/>
      <c r="I82" s="62"/>
      <c r="J82" s="62"/>
      <c r="K82" s="62"/>
      <c r="L82" s="62"/>
      <c r="M82" s="62"/>
      <c r="N82" s="62"/>
    </row>
    <row r="83" spans="1:14" x14ac:dyDescent="0.25">
      <c r="A83" s="4"/>
      <c r="B83" s="316"/>
      <c r="C83" s="5" t="s">
        <v>92</v>
      </c>
      <c r="D83" s="92" t="s">
        <v>126</v>
      </c>
      <c r="E83" s="80"/>
      <c r="F83" s="25"/>
      <c r="G83" s="25"/>
      <c r="H83" s="62"/>
      <c r="I83" s="62"/>
      <c r="J83" s="62"/>
      <c r="K83" s="62"/>
      <c r="L83" s="62"/>
      <c r="M83" s="62"/>
      <c r="N83" s="62"/>
    </row>
    <row r="84" spans="1:14" x14ac:dyDescent="0.25">
      <c r="A84" s="4"/>
      <c r="B84" s="316"/>
      <c r="C84" s="25" t="s">
        <v>335</v>
      </c>
      <c r="D84" s="92">
        <v>22.2</v>
      </c>
      <c r="E84" s="80">
        <v>25.15</v>
      </c>
      <c r="F84" s="25">
        <v>9.23</v>
      </c>
      <c r="G84" s="25">
        <v>12.61</v>
      </c>
      <c r="H84" s="62"/>
      <c r="I84" s="62"/>
      <c r="J84" s="62"/>
      <c r="K84" s="62"/>
      <c r="L84" s="62"/>
      <c r="M84" s="62"/>
      <c r="N84" s="62"/>
    </row>
    <row r="85" spans="1:14" x14ac:dyDescent="0.25">
      <c r="A85" s="4"/>
      <c r="B85" s="316"/>
      <c r="C85" s="25" t="s">
        <v>336</v>
      </c>
      <c r="D85" s="92">
        <v>1.8</v>
      </c>
      <c r="E85" s="80">
        <v>2.29</v>
      </c>
      <c r="F85" s="25">
        <v>3.53</v>
      </c>
      <c r="G85" s="25">
        <v>0.79</v>
      </c>
      <c r="H85" s="62"/>
      <c r="I85" s="62"/>
      <c r="J85" s="62"/>
      <c r="K85" s="62"/>
      <c r="L85" s="62"/>
      <c r="M85" s="62"/>
      <c r="N85" s="62"/>
    </row>
    <row r="86" spans="1:14" x14ac:dyDescent="0.25">
      <c r="A86" s="4"/>
      <c r="B86" s="316"/>
      <c r="C86" s="25" t="s">
        <v>337</v>
      </c>
      <c r="D86" s="92">
        <v>9.6999999999999993</v>
      </c>
      <c r="E86" s="80">
        <v>-1.3</v>
      </c>
      <c r="F86" s="25">
        <v>1.94</v>
      </c>
      <c r="G86" s="25">
        <v>-11.34</v>
      </c>
      <c r="H86" s="62"/>
      <c r="I86" s="62"/>
      <c r="J86" s="62"/>
      <c r="K86" s="62"/>
      <c r="L86" s="62"/>
      <c r="M86" s="62"/>
      <c r="N86" s="62"/>
    </row>
    <row r="87" spans="1:14" x14ac:dyDescent="0.25">
      <c r="A87" s="4"/>
      <c r="B87" s="316"/>
      <c r="C87" s="5" t="s">
        <v>93</v>
      </c>
      <c r="D87" s="164">
        <f>D84+D85+D86/3</f>
        <v>27.233333333333334</v>
      </c>
      <c r="E87" s="165">
        <f>E84+E85+E86/3</f>
        <v>27.006666666666664</v>
      </c>
      <c r="F87" s="165">
        <f>F84+F85+F86/3</f>
        <v>13.406666666666666</v>
      </c>
      <c r="G87" s="165">
        <f>G84+G85+G86/3</f>
        <v>9.6199999999999992</v>
      </c>
      <c r="H87" s="62"/>
      <c r="I87" s="62"/>
      <c r="J87" s="62"/>
      <c r="K87" s="62"/>
      <c r="L87" s="62"/>
      <c r="M87" s="62"/>
      <c r="N87" s="62"/>
    </row>
    <row r="88" spans="1:14" x14ac:dyDescent="0.2">
      <c r="A88" s="4"/>
      <c r="B88" s="316" t="s">
        <v>94</v>
      </c>
      <c r="C88" s="5" t="s">
        <v>334</v>
      </c>
      <c r="D88" s="93">
        <v>14.56</v>
      </c>
      <c r="E88" s="80">
        <v>28.64</v>
      </c>
      <c r="F88" s="25">
        <v>16.27</v>
      </c>
      <c r="G88" s="154">
        <f>L71/G82</f>
        <v>26.875</v>
      </c>
      <c r="H88" s="62"/>
      <c r="I88" s="62"/>
      <c r="J88" s="62"/>
      <c r="K88" s="62"/>
      <c r="L88" s="62"/>
      <c r="M88" s="62"/>
      <c r="N88" s="62"/>
    </row>
    <row r="89" spans="1:14" x14ac:dyDescent="0.25">
      <c r="A89" s="4"/>
      <c r="B89" s="316"/>
      <c r="C89" s="5" t="s">
        <v>92</v>
      </c>
      <c r="D89" s="92" t="s">
        <v>126</v>
      </c>
      <c r="E89" s="80"/>
      <c r="F89" s="25"/>
      <c r="G89" s="25"/>
      <c r="H89" s="62"/>
      <c r="I89" s="62"/>
      <c r="J89" s="62"/>
      <c r="K89" s="62"/>
      <c r="L89" s="62"/>
      <c r="M89" s="62"/>
      <c r="N89" s="62"/>
    </row>
    <row r="90" spans="1:14" x14ac:dyDescent="0.25">
      <c r="A90" s="4"/>
      <c r="B90" s="316"/>
      <c r="C90" s="25" t="s">
        <v>335</v>
      </c>
      <c r="D90" s="92">
        <v>10.6</v>
      </c>
      <c r="E90" s="80">
        <v>15.14</v>
      </c>
      <c r="F90" s="25">
        <v>49.91</v>
      </c>
      <c r="G90" s="154">
        <f>460.65/G84</f>
        <v>36.530531324345759</v>
      </c>
      <c r="H90" s="62"/>
      <c r="I90" s="62"/>
      <c r="J90" s="62"/>
      <c r="K90" s="62"/>
      <c r="L90" s="62"/>
      <c r="M90" s="62"/>
      <c r="N90" s="62"/>
    </row>
    <row r="91" spans="1:14" x14ac:dyDescent="0.25">
      <c r="A91" s="4"/>
      <c r="B91" s="316"/>
      <c r="C91" s="25" t="s">
        <v>336</v>
      </c>
      <c r="D91" s="92">
        <v>20.6</v>
      </c>
      <c r="E91" s="80">
        <v>21.61</v>
      </c>
      <c r="F91" s="25">
        <v>5.32</v>
      </c>
      <c r="G91" s="154">
        <f>18.8/G85</f>
        <v>23.797468354430379</v>
      </c>
      <c r="H91" s="62"/>
      <c r="I91" s="62"/>
      <c r="J91" s="62"/>
      <c r="K91" s="62"/>
      <c r="L91" s="62"/>
      <c r="M91" s="62"/>
      <c r="N91" s="62"/>
    </row>
    <row r="92" spans="1:14" x14ac:dyDescent="0.25">
      <c r="A92" s="4"/>
      <c r="B92" s="316"/>
      <c r="C92" s="25" t="s">
        <v>337</v>
      </c>
      <c r="D92" s="92">
        <v>8.6999999999999993</v>
      </c>
      <c r="E92" s="122">
        <v>0</v>
      </c>
      <c r="F92" s="25">
        <v>24.17</v>
      </c>
      <c r="G92" s="154">
        <f>46.9/G86</f>
        <v>-4.1358024691358022</v>
      </c>
      <c r="H92" s="62"/>
      <c r="I92" s="62"/>
      <c r="J92" s="62"/>
      <c r="K92" s="62"/>
      <c r="L92" s="62"/>
      <c r="M92" s="62"/>
      <c r="N92" s="62"/>
    </row>
    <row r="93" spans="1:14" x14ac:dyDescent="0.25">
      <c r="A93" s="4"/>
      <c r="B93" s="316"/>
      <c r="C93" s="5" t="s">
        <v>93</v>
      </c>
      <c r="D93" s="164">
        <f>D90+D91+D92/3</f>
        <v>34.1</v>
      </c>
      <c r="E93" s="165">
        <f>E90+E91+E92/3</f>
        <v>36.75</v>
      </c>
      <c r="F93" s="165">
        <f>F90+F91+F92/3</f>
        <v>63.286666666666662</v>
      </c>
      <c r="G93" s="165">
        <f>G90+G91+G92/3</f>
        <v>58.94939885573087</v>
      </c>
      <c r="H93" s="62"/>
      <c r="I93" s="62"/>
      <c r="J93" s="62"/>
      <c r="K93" s="62"/>
      <c r="L93" s="62"/>
      <c r="M93" s="62"/>
      <c r="N93" s="62"/>
    </row>
    <row r="94" spans="1:14" x14ac:dyDescent="0.2">
      <c r="A94" s="4"/>
      <c r="B94" s="316" t="s">
        <v>95</v>
      </c>
      <c r="C94" s="5" t="s">
        <v>334</v>
      </c>
      <c r="D94" s="91">
        <v>4.3600000000000003</v>
      </c>
      <c r="E94" s="80">
        <v>2.19</v>
      </c>
      <c r="F94" s="25">
        <v>5.83</v>
      </c>
      <c r="G94" s="154">
        <f>194.56/5714.99</f>
        <v>3.4043804101144534E-2</v>
      </c>
      <c r="H94" s="62"/>
      <c r="I94" s="62"/>
      <c r="J94" s="62"/>
      <c r="K94" s="62"/>
      <c r="L94" s="62"/>
      <c r="M94" s="62"/>
      <c r="N94" s="62"/>
    </row>
    <row r="95" spans="1:14" x14ac:dyDescent="0.25">
      <c r="A95" s="4"/>
      <c r="B95" s="316"/>
      <c r="C95" s="5" t="s">
        <v>92</v>
      </c>
      <c r="D95" s="92" t="s">
        <v>126</v>
      </c>
      <c r="E95" s="80"/>
      <c r="F95" s="25"/>
      <c r="G95" s="25"/>
      <c r="H95" s="62"/>
      <c r="I95" s="62"/>
      <c r="J95" s="62"/>
      <c r="K95" s="62"/>
      <c r="L95" s="62"/>
      <c r="M95" s="62"/>
      <c r="N95" s="62"/>
    </row>
    <row r="96" spans="1:14" x14ac:dyDescent="0.25">
      <c r="A96" s="4"/>
      <c r="B96" s="316"/>
      <c r="C96" s="25" t="s">
        <v>335</v>
      </c>
      <c r="D96" s="92">
        <v>13.7</v>
      </c>
      <c r="E96" s="80">
        <v>18.48</v>
      </c>
      <c r="F96" s="25">
        <v>7.71</v>
      </c>
      <c r="G96" s="154">
        <f>18454.95/292475.47*100</f>
        <v>6.3099137852483844</v>
      </c>
      <c r="H96" s="62"/>
      <c r="I96" s="62"/>
      <c r="J96" s="62"/>
      <c r="K96" s="62"/>
      <c r="L96" s="62"/>
      <c r="M96" s="62"/>
      <c r="N96" s="62"/>
    </row>
    <row r="97" spans="1:14" x14ac:dyDescent="0.25">
      <c r="A97" s="4"/>
      <c r="B97" s="316"/>
      <c r="C97" s="25" t="s">
        <v>336</v>
      </c>
      <c r="D97" s="92">
        <v>42</v>
      </c>
      <c r="E97" s="80">
        <v>9.25</v>
      </c>
      <c r="F97" s="25">
        <v>13.64</v>
      </c>
      <c r="G97" s="154">
        <f>82.73/2810.46*100</f>
        <v>2.9436462358475124</v>
      </c>
      <c r="H97" s="62"/>
      <c r="I97" s="62"/>
      <c r="J97" s="62"/>
      <c r="K97" s="62"/>
      <c r="L97" s="62"/>
      <c r="M97" s="62"/>
      <c r="N97" s="62"/>
    </row>
    <row r="98" spans="1:14" x14ac:dyDescent="0.25">
      <c r="A98" s="4"/>
      <c r="B98" s="316"/>
      <c r="C98" s="25" t="s">
        <v>337</v>
      </c>
      <c r="D98" s="92">
        <v>9.3000000000000007</v>
      </c>
      <c r="E98" s="122">
        <v>0</v>
      </c>
      <c r="F98" s="25">
        <v>1.42</v>
      </c>
      <c r="G98" s="154">
        <f>-837.39/9180.75*100</f>
        <v>-9.1211502328241156</v>
      </c>
      <c r="H98" s="62"/>
      <c r="I98" s="62"/>
      <c r="J98" s="62"/>
      <c r="K98" s="62"/>
      <c r="L98" s="62"/>
      <c r="M98" s="62"/>
      <c r="N98" s="62"/>
    </row>
    <row r="99" spans="1:14" x14ac:dyDescent="0.25">
      <c r="A99" s="4"/>
      <c r="B99" s="316"/>
      <c r="C99" s="5" t="s">
        <v>93</v>
      </c>
      <c r="D99" s="164">
        <f>D96+D97+D98/3</f>
        <v>58.800000000000004</v>
      </c>
      <c r="E99" s="165">
        <f>E96+E97+E98/3</f>
        <v>27.73</v>
      </c>
      <c r="F99" s="165">
        <f>F96+F97+F98/3</f>
        <v>21.823333333333334</v>
      </c>
      <c r="G99" s="165">
        <f>G96+G97+G98/3</f>
        <v>6.2131766101545249</v>
      </c>
      <c r="H99" s="62"/>
      <c r="I99" s="62"/>
      <c r="J99" s="62"/>
      <c r="K99" s="66"/>
      <c r="L99" s="62"/>
      <c r="M99" s="62"/>
      <c r="N99" s="62"/>
    </row>
    <row r="100" spans="1:14" x14ac:dyDescent="0.2">
      <c r="A100" s="4"/>
      <c r="B100" s="316" t="s">
        <v>96</v>
      </c>
      <c r="C100" s="5" t="s">
        <v>334</v>
      </c>
      <c r="D100" s="91">
        <v>195.82</v>
      </c>
      <c r="E100" s="80">
        <v>32.03</v>
      </c>
      <c r="F100" s="25">
        <v>31.64</v>
      </c>
      <c r="G100" s="154">
        <f>(5714.99*100000)/17446800</f>
        <v>32.756665978861456</v>
      </c>
      <c r="H100" s="62"/>
      <c r="I100" s="62"/>
      <c r="J100" s="62"/>
      <c r="K100" s="62"/>
      <c r="L100" s="62"/>
      <c r="M100" s="62"/>
      <c r="N100" s="62"/>
    </row>
    <row r="101" spans="1:14" x14ac:dyDescent="0.25">
      <c r="A101" s="4"/>
      <c r="B101" s="316"/>
      <c r="C101" s="5" t="s">
        <v>92</v>
      </c>
      <c r="D101" s="92" t="s">
        <v>126</v>
      </c>
      <c r="E101" s="80"/>
      <c r="F101" s="25"/>
      <c r="G101" s="25"/>
      <c r="H101" s="62"/>
      <c r="I101" s="62"/>
      <c r="J101" s="62"/>
      <c r="K101" s="62"/>
      <c r="L101" s="62"/>
      <c r="M101" s="62"/>
      <c r="N101" s="62"/>
    </row>
    <row r="102" spans="1:14" x14ac:dyDescent="0.25">
      <c r="A102" s="4"/>
      <c r="B102" s="386"/>
      <c r="C102" s="25" t="s">
        <v>335</v>
      </c>
      <c r="D102" s="92">
        <v>112</v>
      </c>
      <c r="E102" s="80">
        <v>149.69</v>
      </c>
      <c r="F102" s="154">
        <f>27078033000/146344861</f>
        <v>185.02892971417697</v>
      </c>
      <c r="G102" s="154">
        <f>29247547000/146344861</f>
        <v>199.85359786566062</v>
      </c>
      <c r="H102" s="62"/>
      <c r="I102" s="62"/>
      <c r="J102" s="62"/>
      <c r="K102" s="62"/>
      <c r="L102" s="62"/>
      <c r="M102" s="62"/>
      <c r="N102" s="62"/>
    </row>
    <row r="103" spans="1:14" x14ac:dyDescent="0.25">
      <c r="A103" s="4"/>
      <c r="B103" s="386"/>
      <c r="C103" s="25" t="s">
        <v>336</v>
      </c>
      <c r="D103" s="92">
        <v>22.6</v>
      </c>
      <c r="E103" s="80">
        <v>24.77</v>
      </c>
      <c r="F103" s="25">
        <v>25.86</v>
      </c>
      <c r="G103" s="154">
        <f>281046186/10472000</f>
        <v>26.837871084797555</v>
      </c>
      <c r="H103" s="62"/>
      <c r="I103" s="62"/>
      <c r="J103" s="62"/>
      <c r="K103" s="62"/>
      <c r="L103" s="62"/>
      <c r="M103" s="62"/>
      <c r="N103" s="62"/>
    </row>
    <row r="104" spans="1:14" x14ac:dyDescent="0.25">
      <c r="A104" s="4"/>
      <c r="B104" s="386"/>
      <c r="C104" s="25" t="s">
        <v>337</v>
      </c>
      <c r="D104" s="92">
        <v>135.30000000000001</v>
      </c>
      <c r="E104" s="80">
        <v>133.97999999999999</v>
      </c>
      <c r="F104" s="25">
        <v>136.05000000000001</v>
      </c>
      <c r="G104" s="154">
        <f>9180.75/73838000</f>
        <v>1.243363850591836E-4</v>
      </c>
      <c r="H104" s="62"/>
      <c r="I104" s="62"/>
      <c r="J104" s="62"/>
      <c r="K104" s="62"/>
      <c r="L104" s="62"/>
      <c r="M104" s="62"/>
      <c r="N104" s="62"/>
    </row>
    <row r="105" spans="1:14" x14ac:dyDescent="0.25">
      <c r="A105" s="4"/>
      <c r="B105" s="386"/>
      <c r="C105" s="5" t="s">
        <v>93</v>
      </c>
      <c r="D105" s="164">
        <f>D102+D103+D104/3</f>
        <v>179.7</v>
      </c>
      <c r="E105" s="165">
        <f>E102+E103+E104/3</f>
        <v>219.12</v>
      </c>
      <c r="F105" s="165">
        <f>F102+F103+F104/3</f>
        <v>256.238929714177</v>
      </c>
      <c r="G105" s="165">
        <f>G102+G103+G104/3</f>
        <v>226.69151039591983</v>
      </c>
      <c r="H105" s="62"/>
      <c r="I105" s="62"/>
      <c r="J105" s="62"/>
      <c r="K105" s="62"/>
      <c r="L105" s="62"/>
      <c r="M105" s="62"/>
      <c r="N105" s="62"/>
    </row>
    <row r="106" spans="1:14" s="57" customFormat="1" x14ac:dyDescent="0.25">
      <c r="B106" s="387"/>
      <c r="C106" s="388"/>
      <c r="D106" s="388"/>
      <c r="E106" s="388"/>
      <c r="F106" s="388"/>
      <c r="G106" s="389"/>
    </row>
    <row r="107" spans="1:14" x14ac:dyDescent="0.25">
      <c r="A107" s="4"/>
      <c r="B107" s="376" t="s">
        <v>319</v>
      </c>
      <c r="C107" s="377"/>
      <c r="D107" s="377"/>
      <c r="E107" s="377"/>
      <c r="F107" s="377"/>
      <c r="G107" s="378"/>
      <c r="H107" s="62"/>
      <c r="I107" s="62"/>
      <c r="J107" s="62"/>
      <c r="K107" s="62"/>
      <c r="L107" s="62"/>
      <c r="M107" s="62"/>
      <c r="N107" s="62"/>
    </row>
    <row r="108" spans="1:14" x14ac:dyDescent="0.25">
      <c r="A108" s="4"/>
      <c r="B108" s="379" t="s">
        <v>128</v>
      </c>
      <c r="C108" s="380"/>
      <c r="D108" s="380"/>
      <c r="E108" s="380"/>
      <c r="F108" s="380"/>
      <c r="G108" s="381"/>
      <c r="H108" s="62"/>
      <c r="I108" s="62"/>
      <c r="J108" s="62"/>
      <c r="K108" s="62"/>
      <c r="L108" s="62"/>
      <c r="M108" s="62"/>
      <c r="N108" s="62"/>
    </row>
    <row r="109" spans="1:14" x14ac:dyDescent="0.25">
      <c r="A109" s="4"/>
      <c r="B109" s="353"/>
      <c r="C109" s="354"/>
      <c r="D109" s="354"/>
      <c r="E109" s="354"/>
      <c r="F109" s="354"/>
      <c r="G109" s="355"/>
      <c r="H109" s="62"/>
      <c r="I109" s="62"/>
      <c r="J109" s="62"/>
      <c r="K109" s="62"/>
      <c r="L109" s="62"/>
      <c r="M109" s="62"/>
      <c r="N109" s="62"/>
    </row>
    <row r="110" spans="1:14" x14ac:dyDescent="0.25">
      <c r="A110" s="26"/>
      <c r="B110" s="12"/>
      <c r="C110" s="323"/>
      <c r="D110" s="323"/>
      <c r="E110" s="323"/>
      <c r="F110" s="323"/>
      <c r="G110" s="323"/>
      <c r="H110" s="62"/>
      <c r="I110" s="62"/>
      <c r="J110" s="26"/>
      <c r="K110" s="26"/>
      <c r="L110" s="26"/>
      <c r="M110" s="26"/>
      <c r="N110" s="26"/>
    </row>
    <row r="111" spans="1:14" x14ac:dyDescent="0.25">
      <c r="A111" s="13">
        <v>14</v>
      </c>
      <c r="B111" s="70" t="s">
        <v>99</v>
      </c>
      <c r="C111" s="324" t="s">
        <v>48</v>
      </c>
      <c r="D111" s="325"/>
      <c r="E111" s="325"/>
      <c r="F111" s="325"/>
      <c r="G111" s="326"/>
      <c r="H111" s="26"/>
      <c r="I111" s="26"/>
      <c r="J111" s="26"/>
      <c r="K111" s="26"/>
      <c r="L111" s="26"/>
      <c r="M111" s="26"/>
      <c r="N111" s="26"/>
    </row>
    <row r="112" spans="1:14" x14ac:dyDescent="0.25">
      <c r="A112" s="71"/>
      <c r="B112" s="26"/>
      <c r="C112" s="84"/>
      <c r="D112" s="84"/>
      <c r="E112" s="84"/>
      <c r="F112" s="84"/>
      <c r="G112" s="84"/>
      <c r="H112" s="26"/>
      <c r="I112" s="26"/>
      <c r="J112" s="26"/>
      <c r="K112" s="26"/>
      <c r="L112" s="26"/>
      <c r="M112" s="26"/>
      <c r="N112" s="26"/>
    </row>
    <row r="113" spans="1:14" x14ac:dyDescent="0.25">
      <c r="A113" s="26"/>
      <c r="B113" s="374" t="s">
        <v>338</v>
      </c>
      <c r="C113" s="375"/>
      <c r="D113" s="375"/>
      <c r="E113" s="375"/>
      <c r="F113" s="375"/>
      <c r="G113" s="375"/>
      <c r="H113" s="375"/>
      <c r="I113" s="26"/>
      <c r="J113" s="26"/>
      <c r="K113" s="26"/>
      <c r="L113" s="26"/>
      <c r="M113" s="26"/>
      <c r="N113" s="26"/>
    </row>
    <row r="114" spans="1:14" x14ac:dyDescent="0.25">
      <c r="A114" s="26"/>
      <c r="I114" s="26"/>
      <c r="J114" s="26"/>
      <c r="K114" s="26"/>
      <c r="L114" s="26"/>
      <c r="M114" s="26"/>
      <c r="N114" s="26"/>
    </row>
    <row r="115" spans="1:14" x14ac:dyDescent="0.25">
      <c r="A115" s="26"/>
      <c r="J115" s="26"/>
      <c r="K115" s="26"/>
      <c r="L115" s="26"/>
      <c r="M115" s="26"/>
      <c r="N115" s="26"/>
    </row>
  </sheetData>
  <sheetProtection password="E9DF" sheet="1" objects="1" scenarios="1"/>
  <mergeCells count="59">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C63:E63"/>
    <mergeCell ref="B69:B70"/>
    <mergeCell ref="C69:C70"/>
    <mergeCell ref="D69:D70"/>
    <mergeCell ref="E69:E70"/>
    <mergeCell ref="F69:H69"/>
    <mergeCell ref="I69:K69"/>
    <mergeCell ref="L69:N69"/>
    <mergeCell ref="B73:N73"/>
    <mergeCell ref="B74:N74"/>
    <mergeCell ref="B75:N75"/>
    <mergeCell ref="B88:B93"/>
    <mergeCell ref="B94:B99"/>
    <mergeCell ref="B113:H113"/>
    <mergeCell ref="B106:G106"/>
    <mergeCell ref="B107:G107"/>
    <mergeCell ref="B108:G108"/>
    <mergeCell ref="B109:G109"/>
    <mergeCell ref="C110:G110"/>
    <mergeCell ref="C111:G111"/>
    <mergeCell ref="B100:B105"/>
    <mergeCell ref="B77:N77"/>
    <mergeCell ref="B79:G79"/>
    <mergeCell ref="B82:B87"/>
    <mergeCell ref="B76:N7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topLeftCell="A40" workbookViewId="0">
      <selection activeCell="G51" sqref="G51"/>
    </sheetView>
  </sheetViews>
  <sheetFormatPr defaultColWidth="8.85546875" defaultRowHeight="12.75" x14ac:dyDescent="0.25"/>
  <cols>
    <col min="1" max="1" width="8.85546875" style="73"/>
    <col min="2" max="2" width="40.28515625" style="73" customWidth="1"/>
    <col min="3" max="3" width="32.2851562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339</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340</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341</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305</v>
      </c>
      <c r="C19" s="363" t="s">
        <v>48</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264</v>
      </c>
      <c r="D28" s="22" t="s">
        <v>26</v>
      </c>
      <c r="E28" s="22" t="s">
        <v>27</v>
      </c>
      <c r="F28" s="19"/>
      <c r="G28" s="26"/>
      <c r="H28" s="26"/>
      <c r="I28" s="26"/>
      <c r="J28" s="26"/>
      <c r="K28" s="26"/>
      <c r="L28" s="26"/>
      <c r="M28" s="26"/>
      <c r="N28" s="26"/>
    </row>
    <row r="29" spans="1:14" ht="12.75" customHeight="1" x14ac:dyDescent="0.25">
      <c r="A29" s="13"/>
      <c r="B29" s="23" t="s">
        <v>28</v>
      </c>
      <c r="C29" s="24">
        <v>11139.51</v>
      </c>
      <c r="D29" s="24">
        <v>10519.59</v>
      </c>
      <c r="E29" s="161">
        <v>9517.8799999999992</v>
      </c>
      <c r="F29" s="19"/>
      <c r="G29" s="26"/>
      <c r="H29" s="26"/>
      <c r="I29" s="26"/>
      <c r="J29" s="26"/>
      <c r="K29" s="26"/>
      <c r="L29" s="26"/>
      <c r="M29" s="26"/>
      <c r="N29" s="26"/>
    </row>
    <row r="30" spans="1:14" x14ac:dyDescent="0.25">
      <c r="A30" s="13"/>
      <c r="B30" s="23" t="s">
        <v>29</v>
      </c>
      <c r="C30" s="24">
        <v>158.06</v>
      </c>
      <c r="D30" s="24">
        <v>117.94</v>
      </c>
      <c r="E30" s="162">
        <v>121</v>
      </c>
      <c r="F30" s="19"/>
      <c r="G30" s="26"/>
      <c r="H30" s="26"/>
      <c r="I30" s="26"/>
      <c r="J30" s="26"/>
      <c r="K30" s="26"/>
      <c r="L30" s="26"/>
      <c r="M30" s="26"/>
      <c r="N30" s="26"/>
    </row>
    <row r="31" spans="1:14" x14ac:dyDescent="0.25">
      <c r="A31" s="13"/>
      <c r="B31" s="23" t="s">
        <v>30</v>
      </c>
      <c r="C31" s="24">
        <v>803.94</v>
      </c>
      <c r="D31" s="24">
        <v>803.94</v>
      </c>
      <c r="E31" s="161">
        <v>803.94</v>
      </c>
      <c r="F31" s="19"/>
      <c r="G31" s="26"/>
      <c r="H31" s="26"/>
      <c r="I31" s="26"/>
      <c r="J31" s="26"/>
      <c r="K31" s="26"/>
      <c r="L31" s="26"/>
      <c r="M31" s="26"/>
      <c r="N31" s="26"/>
    </row>
    <row r="32" spans="1:14" x14ac:dyDescent="0.25">
      <c r="A32" s="13"/>
      <c r="B32" s="23" t="s">
        <v>31</v>
      </c>
      <c r="C32" s="24">
        <v>1265.31</v>
      </c>
      <c r="D32" s="24">
        <v>1384.81</v>
      </c>
      <c r="E32" s="161">
        <v>1505.83</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161" t="s">
        <v>35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ht="57.75" customHeight="1" x14ac:dyDescent="0.25">
      <c r="A44" s="13"/>
      <c r="B44" s="21" t="s">
        <v>36</v>
      </c>
      <c r="C44" s="350" t="s">
        <v>801</v>
      </c>
      <c r="D44" s="351"/>
      <c r="E44" s="352"/>
      <c r="F44" s="17"/>
      <c r="G44" s="26"/>
      <c r="H44" s="26"/>
      <c r="I44" s="26"/>
      <c r="J44" s="26"/>
      <c r="K44" s="26"/>
      <c r="L44" s="26"/>
      <c r="M44" s="26"/>
      <c r="N44" s="26"/>
    </row>
    <row r="45" spans="1:14" ht="24.75" customHeight="1" x14ac:dyDescent="0.25">
      <c r="A45" s="13"/>
      <c r="B45" s="21" t="s">
        <v>37</v>
      </c>
      <c r="C45" s="367" t="s">
        <v>800</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63.75" x14ac:dyDescent="0.25">
      <c r="A50" s="34"/>
      <c r="B50" s="94" t="s">
        <v>342</v>
      </c>
      <c r="C50" s="94" t="s">
        <v>343</v>
      </c>
      <c r="D50" s="33" t="s">
        <v>344</v>
      </c>
      <c r="E50" s="32"/>
      <c r="F50" s="26"/>
      <c r="G50" s="26"/>
      <c r="H50" s="26"/>
      <c r="I50" s="26"/>
      <c r="J50" s="26"/>
      <c r="K50" s="26"/>
      <c r="L50" s="26"/>
      <c r="M50" s="26"/>
    </row>
    <row r="51" spans="1:14" x14ac:dyDescent="0.25">
      <c r="A51" s="37"/>
      <c r="B51" s="75" t="s">
        <v>816</v>
      </c>
      <c r="C51" s="28"/>
      <c r="D51" s="28"/>
      <c r="E51" s="28"/>
      <c r="F51" s="19"/>
      <c r="G51" s="19"/>
      <c r="H51" s="19"/>
      <c r="I51" s="19"/>
      <c r="J51" s="26"/>
      <c r="K51" s="26"/>
      <c r="L51" s="26"/>
      <c r="M51" s="26"/>
      <c r="N51" s="26"/>
    </row>
    <row r="52" spans="1:14" x14ac:dyDescent="0.25">
      <c r="A52" s="29">
        <v>10</v>
      </c>
      <c r="B52" s="340" t="s">
        <v>41</v>
      </c>
      <c r="C52" s="333"/>
      <c r="D52" s="333"/>
      <c r="E52" s="333"/>
      <c r="F52" s="19"/>
      <c r="G52" s="19"/>
      <c r="H52" s="19"/>
      <c r="I52" s="26"/>
      <c r="J52" s="26"/>
      <c r="K52" s="26"/>
      <c r="L52" s="26"/>
      <c r="M52" s="26"/>
    </row>
    <row r="53" spans="1:14" x14ac:dyDescent="0.25">
      <c r="A53" s="34"/>
      <c r="B53" s="357" t="s">
        <v>50</v>
      </c>
      <c r="C53" s="394" t="s">
        <v>345</v>
      </c>
      <c r="D53" s="395"/>
      <c r="E53" s="396"/>
      <c r="F53" s="26"/>
      <c r="G53" s="26"/>
      <c r="H53" s="26"/>
      <c r="I53" s="26"/>
      <c r="J53" s="26"/>
      <c r="K53" s="2"/>
      <c r="L53" s="26"/>
      <c r="M53" s="26"/>
    </row>
    <row r="54" spans="1:14" x14ac:dyDescent="0.25">
      <c r="A54" s="34"/>
      <c r="B54" s="358"/>
      <c r="C54" s="397"/>
      <c r="D54" s="398"/>
      <c r="E54" s="399"/>
      <c r="F54" s="26"/>
      <c r="G54" s="26"/>
      <c r="H54" s="26"/>
      <c r="I54" s="26"/>
      <c r="J54" s="26"/>
      <c r="K54" s="2"/>
      <c r="L54" s="26"/>
      <c r="M54" s="26"/>
    </row>
    <row r="55" spans="1:14" ht="24.75" customHeight="1" x14ac:dyDescent="0.25">
      <c r="A55" s="29"/>
      <c r="B55" s="39" t="s">
        <v>54</v>
      </c>
      <c r="C55" s="344" t="s">
        <v>346</v>
      </c>
      <c r="D55" s="344"/>
      <c r="E55" s="344"/>
      <c r="F55" s="26"/>
      <c r="G55" s="26"/>
      <c r="H55" s="26"/>
      <c r="I55" s="26"/>
      <c r="J55" s="26"/>
      <c r="K55" s="12"/>
      <c r="L55" s="26"/>
      <c r="M55" s="26"/>
    </row>
    <row r="56" spans="1:14" x14ac:dyDescent="0.25">
      <c r="A56" s="34"/>
      <c r="B56" s="39" t="s">
        <v>55</v>
      </c>
      <c r="C56" s="344" t="s">
        <v>56</v>
      </c>
      <c r="D56" s="344"/>
      <c r="E56" s="344"/>
      <c r="F56" s="26"/>
      <c r="G56" s="26"/>
      <c r="H56" s="26"/>
      <c r="I56" s="26"/>
      <c r="J56" s="26"/>
      <c r="K56" s="40"/>
      <c r="L56" s="26"/>
      <c r="M56" s="26"/>
    </row>
    <row r="57" spans="1:14" x14ac:dyDescent="0.25">
      <c r="A57" s="34"/>
      <c r="B57" s="345"/>
      <c r="C57" s="346"/>
      <c r="D57" s="346"/>
      <c r="E57" s="347"/>
      <c r="F57" s="26"/>
      <c r="G57" s="26"/>
      <c r="H57" s="26"/>
      <c r="I57" s="26"/>
      <c r="J57" s="26"/>
      <c r="K57" s="40"/>
      <c r="L57" s="26"/>
      <c r="M57" s="26"/>
    </row>
    <row r="58" spans="1:14" s="76" customFormat="1" x14ac:dyDescent="0.2">
      <c r="A58" s="41" t="s">
        <v>57</v>
      </c>
      <c r="B58" s="384" t="s">
        <v>58</v>
      </c>
      <c r="C58" s="384"/>
      <c r="D58" s="384"/>
      <c r="E58" s="384"/>
    </row>
    <row r="59" spans="1:14" x14ac:dyDescent="0.25">
      <c r="A59" s="43"/>
      <c r="B59" s="44"/>
      <c r="C59" s="45"/>
      <c r="D59" s="46"/>
      <c r="E59" s="47"/>
      <c r="F59" s="40"/>
      <c r="G59" s="40"/>
      <c r="H59" s="40"/>
      <c r="I59" s="40"/>
      <c r="J59" s="40"/>
      <c r="K59" s="40"/>
      <c r="L59" s="40"/>
      <c r="M59" s="26"/>
      <c r="N59" s="26"/>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4" x14ac:dyDescent="0.25">
      <c r="A65" s="13"/>
      <c r="B65" s="21" t="s">
        <v>62</v>
      </c>
      <c r="C65" s="23" t="s">
        <v>291</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347</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x14ac:dyDescent="0.25">
      <c r="A69" s="4"/>
      <c r="B69" s="21" t="s">
        <v>165</v>
      </c>
      <c r="C69" s="53">
        <v>24.95</v>
      </c>
      <c r="D69" s="53">
        <v>23.6</v>
      </c>
      <c r="E69" s="53">
        <v>23.65</v>
      </c>
      <c r="F69" s="53">
        <v>26</v>
      </c>
      <c r="G69" s="53">
        <v>29.9</v>
      </c>
      <c r="H69" s="53">
        <v>20.149999999999999</v>
      </c>
      <c r="I69" s="53">
        <v>26</v>
      </c>
      <c r="J69" s="53">
        <v>28</v>
      </c>
      <c r="K69" s="53">
        <v>22</v>
      </c>
      <c r="L69" s="53">
        <v>23.7</v>
      </c>
      <c r="M69" s="53">
        <v>29</v>
      </c>
      <c r="N69" s="53">
        <v>16.899999999999999</v>
      </c>
    </row>
    <row r="70" spans="1:14" ht="25.5" x14ac:dyDescent="0.2">
      <c r="A70" s="4"/>
      <c r="B70" s="21" t="s">
        <v>166</v>
      </c>
      <c r="C70" s="53">
        <v>8659.1</v>
      </c>
      <c r="D70" s="53">
        <v>8079.95</v>
      </c>
      <c r="E70" s="53">
        <v>8398</v>
      </c>
      <c r="F70" s="53">
        <v>9173.75</v>
      </c>
      <c r="G70" s="53">
        <v>8699.4</v>
      </c>
      <c r="H70" s="53">
        <v>8261.75</v>
      </c>
      <c r="I70" s="54">
        <v>10113.700000000001</v>
      </c>
      <c r="J70" s="54">
        <v>11171.55</v>
      </c>
      <c r="K70" s="56">
        <v>9075.15</v>
      </c>
      <c r="L70" s="53">
        <v>11623.9</v>
      </c>
      <c r="M70" s="53">
        <v>11760.2</v>
      </c>
      <c r="N70" s="53">
        <v>10004.549999999999</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117</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59" t="s">
        <v>84</v>
      </c>
      <c r="C79" s="22" t="s">
        <v>85</v>
      </c>
      <c r="D79" s="22" t="s">
        <v>86</v>
      </c>
      <c r="E79" s="22" t="s">
        <v>280</v>
      </c>
      <c r="F79" s="22" t="s">
        <v>88</v>
      </c>
      <c r="G79" s="22" t="s">
        <v>169</v>
      </c>
      <c r="H79" s="17"/>
      <c r="I79" s="17"/>
      <c r="J79" s="17"/>
      <c r="K79" s="17"/>
      <c r="L79" s="17"/>
      <c r="M79" s="17"/>
      <c r="N79" s="17"/>
    </row>
    <row r="80" spans="1:14" ht="25.5" customHeight="1" x14ac:dyDescent="0.2">
      <c r="A80" s="4"/>
      <c r="B80" s="316" t="s">
        <v>90</v>
      </c>
      <c r="C80" s="5" t="s">
        <v>348</v>
      </c>
      <c r="D80" s="91">
        <v>1.75</v>
      </c>
      <c r="E80" s="80">
        <v>1.97</v>
      </c>
      <c r="F80" s="80">
        <v>1.47</v>
      </c>
      <c r="G80" s="25">
        <v>1.51</v>
      </c>
      <c r="H80" s="62"/>
      <c r="I80" s="62"/>
      <c r="J80" s="62"/>
      <c r="K80" s="62"/>
      <c r="L80" s="62"/>
      <c r="M80" s="62"/>
      <c r="N80" s="62"/>
    </row>
    <row r="81" spans="1:14" x14ac:dyDescent="0.25">
      <c r="A81" s="4"/>
      <c r="B81" s="316"/>
      <c r="C81" s="5" t="s">
        <v>92</v>
      </c>
      <c r="D81" s="92" t="s">
        <v>126</v>
      </c>
      <c r="E81" s="80"/>
      <c r="F81" s="80"/>
      <c r="G81" s="25"/>
      <c r="H81" s="62"/>
      <c r="I81" s="62"/>
      <c r="J81" s="62"/>
      <c r="K81" s="62"/>
      <c r="L81" s="62"/>
      <c r="M81" s="62"/>
      <c r="N81" s="62"/>
    </row>
    <row r="82" spans="1:14" x14ac:dyDescent="0.25">
      <c r="A82" s="4"/>
      <c r="B82" s="316"/>
      <c r="C82" s="25" t="s">
        <v>349</v>
      </c>
      <c r="D82" s="92">
        <v>10.24</v>
      </c>
      <c r="E82" s="80">
        <v>7.72</v>
      </c>
      <c r="F82" s="80">
        <v>10.17</v>
      </c>
      <c r="G82" s="25">
        <v>10.17</v>
      </c>
      <c r="H82" s="62"/>
      <c r="I82" s="62"/>
      <c r="J82" s="62"/>
      <c r="K82" s="62"/>
      <c r="L82" s="62"/>
      <c r="M82" s="62"/>
      <c r="N82" s="62"/>
    </row>
    <row r="83" spans="1:14" x14ac:dyDescent="0.25">
      <c r="A83" s="4"/>
      <c r="B83" s="316"/>
      <c r="C83" s="25" t="s">
        <v>350</v>
      </c>
      <c r="D83" s="92">
        <v>5.48</v>
      </c>
      <c r="E83" s="80">
        <v>4.42</v>
      </c>
      <c r="F83" s="80">
        <v>5.03</v>
      </c>
      <c r="G83" s="25">
        <v>3.83</v>
      </c>
      <c r="H83" s="62"/>
      <c r="I83" s="62"/>
      <c r="J83" s="62"/>
      <c r="K83" s="62"/>
      <c r="L83" s="62"/>
      <c r="M83" s="62"/>
      <c r="N83" s="62"/>
    </row>
    <row r="84" spans="1:14" x14ac:dyDescent="0.25">
      <c r="A84" s="4"/>
      <c r="B84" s="316"/>
      <c r="C84" s="5" t="s">
        <v>93</v>
      </c>
      <c r="D84" s="164">
        <f>D82+D83/2</f>
        <v>12.98</v>
      </c>
      <c r="E84" s="165">
        <f>E82+E83/2</f>
        <v>9.93</v>
      </c>
      <c r="F84" s="165">
        <f>F82+F83/2</f>
        <v>12.685</v>
      </c>
      <c r="G84" s="165">
        <f>G82+G83/2</f>
        <v>12.085000000000001</v>
      </c>
      <c r="H84" s="62"/>
      <c r="I84" s="62"/>
      <c r="J84" s="62"/>
      <c r="K84" s="62"/>
      <c r="L84" s="62"/>
      <c r="M84" s="62"/>
      <c r="N84" s="62"/>
    </row>
    <row r="85" spans="1:14" ht="25.5" x14ac:dyDescent="0.2">
      <c r="A85" s="4"/>
      <c r="B85" s="316" t="s">
        <v>94</v>
      </c>
      <c r="C85" s="5" t="s">
        <v>348</v>
      </c>
      <c r="D85" s="93">
        <v>13.94</v>
      </c>
      <c r="E85" s="80">
        <v>13.22</v>
      </c>
      <c r="F85" s="85">
        <f>F69/F80</f>
        <v>17.687074829931973</v>
      </c>
      <c r="G85" s="154">
        <f>L69/G80</f>
        <v>15.695364238410596</v>
      </c>
      <c r="H85" s="62"/>
      <c r="I85" s="62"/>
      <c r="J85" s="62"/>
      <c r="K85" s="62"/>
      <c r="L85" s="62"/>
      <c r="M85" s="62"/>
      <c r="N85" s="62"/>
    </row>
    <row r="86" spans="1:14" x14ac:dyDescent="0.25">
      <c r="A86" s="4"/>
      <c r="B86" s="316"/>
      <c r="C86" s="5" t="s">
        <v>92</v>
      </c>
      <c r="D86" s="92" t="s">
        <v>126</v>
      </c>
      <c r="E86" s="80"/>
      <c r="F86" s="80"/>
      <c r="G86" s="25"/>
      <c r="H86" s="62"/>
      <c r="I86" s="62"/>
      <c r="J86" s="62"/>
      <c r="K86" s="62"/>
      <c r="L86" s="62"/>
      <c r="M86" s="62"/>
      <c r="N86" s="62"/>
    </row>
    <row r="87" spans="1:14" x14ac:dyDescent="0.25">
      <c r="A87" s="4"/>
      <c r="B87" s="316"/>
      <c r="C87" s="25" t="s">
        <v>349</v>
      </c>
      <c r="D87" s="92">
        <v>28.71</v>
      </c>
      <c r="E87" s="80">
        <v>40.31</v>
      </c>
      <c r="F87" s="85">
        <f>384.35/F82</f>
        <v>37.792527040314653</v>
      </c>
      <c r="G87" s="163">
        <f>282.25/G82</f>
        <v>27.753195673549655</v>
      </c>
      <c r="H87" s="62"/>
      <c r="I87" s="62"/>
      <c r="J87" s="62"/>
      <c r="K87" s="62"/>
      <c r="L87" s="62"/>
      <c r="M87" s="62"/>
      <c r="N87" s="62"/>
    </row>
    <row r="88" spans="1:14" x14ac:dyDescent="0.25">
      <c r="A88" s="4"/>
      <c r="B88" s="316"/>
      <c r="C88" s="25" t="s">
        <v>350</v>
      </c>
      <c r="D88" s="92">
        <v>17.2</v>
      </c>
      <c r="E88" s="80">
        <v>19.68</v>
      </c>
      <c r="F88" s="85">
        <f>55.45/F83</f>
        <v>11.023856858846919</v>
      </c>
      <c r="G88" s="154">
        <f>46.15/G83</f>
        <v>12.049608355091383</v>
      </c>
      <c r="H88" s="62"/>
      <c r="I88" s="62"/>
      <c r="J88" s="62"/>
      <c r="K88" s="62"/>
      <c r="L88" s="62"/>
      <c r="M88" s="62"/>
      <c r="N88" s="62"/>
    </row>
    <row r="89" spans="1:14" x14ac:dyDescent="0.25">
      <c r="A89" s="4"/>
      <c r="B89" s="316"/>
      <c r="C89" s="5" t="s">
        <v>93</v>
      </c>
      <c r="D89" s="164">
        <f>SUM(D87:D88)/2</f>
        <v>22.954999999999998</v>
      </c>
      <c r="E89" s="165">
        <f>SUM(E87:E88)/2</f>
        <v>29.995000000000001</v>
      </c>
      <c r="F89" s="165">
        <f>SUM(F87:F88)/2</f>
        <v>24.408191949580786</v>
      </c>
      <c r="G89" s="165">
        <f>SUM(G87:G88)/2</f>
        <v>19.901402014320517</v>
      </c>
      <c r="H89" s="62"/>
      <c r="I89" s="62"/>
      <c r="J89" s="62"/>
      <c r="K89" s="62"/>
      <c r="L89" s="62"/>
      <c r="M89" s="62"/>
      <c r="N89" s="62"/>
    </row>
    <row r="90" spans="1:14" ht="25.5" x14ac:dyDescent="0.2">
      <c r="A90" s="4"/>
      <c r="B90" s="316" t="s">
        <v>95</v>
      </c>
      <c r="C90" s="5" t="s">
        <v>348</v>
      </c>
      <c r="D90" s="91">
        <v>7.5</v>
      </c>
      <c r="E90" s="80">
        <v>7.66</v>
      </c>
      <c r="F90" s="86">
        <f>117.94/2109.41</f>
        <v>5.5911368581736128E-2</v>
      </c>
      <c r="G90" s="154">
        <f>12100814/230976737*100</f>
        <v>5.2389752133350118</v>
      </c>
      <c r="H90" s="62"/>
      <c r="I90" s="62"/>
      <c r="J90" s="62"/>
      <c r="K90" s="62"/>
      <c r="L90" s="62"/>
      <c r="M90" s="62"/>
      <c r="N90" s="62"/>
    </row>
    <row r="91" spans="1:14" x14ac:dyDescent="0.25">
      <c r="A91" s="4"/>
      <c r="B91" s="316"/>
      <c r="C91" s="5" t="s">
        <v>92</v>
      </c>
      <c r="D91" s="92" t="s">
        <v>126</v>
      </c>
      <c r="E91" s="80"/>
      <c r="F91" s="80"/>
      <c r="G91" s="25"/>
      <c r="H91" s="62"/>
      <c r="I91" s="62"/>
      <c r="J91" s="62"/>
      <c r="K91" s="62"/>
      <c r="L91" s="62"/>
      <c r="M91" s="62"/>
      <c r="N91" s="62"/>
    </row>
    <row r="92" spans="1:14" x14ac:dyDescent="0.25">
      <c r="A92" s="4"/>
      <c r="B92" s="316"/>
      <c r="C92" s="25" t="s">
        <v>349</v>
      </c>
      <c r="D92" s="92">
        <v>23.53</v>
      </c>
      <c r="E92" s="80">
        <v>13.02</v>
      </c>
      <c r="F92" s="86">
        <f>9256.42/59321.97</f>
        <v>0.15603696235981374</v>
      </c>
      <c r="G92" s="154">
        <f>9191.61/64593.8*100</f>
        <v>14.229864166529914</v>
      </c>
      <c r="H92" s="62"/>
      <c r="I92" s="62"/>
      <c r="J92" s="62"/>
      <c r="K92" s="62"/>
      <c r="L92" s="62"/>
      <c r="M92" s="62"/>
      <c r="N92" s="62"/>
    </row>
    <row r="93" spans="1:14" x14ac:dyDescent="0.25">
      <c r="A93" s="4"/>
      <c r="B93" s="316"/>
      <c r="C93" s="25" t="s">
        <v>350</v>
      </c>
      <c r="D93" s="92">
        <v>6.64</v>
      </c>
      <c r="E93" s="80">
        <v>6.1</v>
      </c>
      <c r="F93" s="86">
        <f>822.54/12743.76</f>
        <v>6.4544530028814093E-2</v>
      </c>
      <c r="G93" s="154">
        <f>632.54/12807.71*100</f>
        <v>4.9387439284618404</v>
      </c>
      <c r="H93" s="62"/>
      <c r="I93" s="62"/>
      <c r="J93" s="62"/>
      <c r="K93" s="62"/>
      <c r="L93" s="62"/>
      <c r="M93" s="62"/>
      <c r="N93" s="62"/>
    </row>
    <row r="94" spans="1:14" x14ac:dyDescent="0.25">
      <c r="A94" s="4"/>
      <c r="B94" s="316"/>
      <c r="C94" s="5" t="s">
        <v>93</v>
      </c>
      <c r="D94" s="164">
        <f>SUM(D92:D93)/2</f>
        <v>15.085000000000001</v>
      </c>
      <c r="E94" s="165">
        <f>SUM(E92:E93)/2</f>
        <v>9.5599999999999987</v>
      </c>
      <c r="F94" s="165">
        <f>SUM(F92:F93)/2</f>
        <v>0.11029074619431392</v>
      </c>
      <c r="G94" s="165">
        <f>SUM(G92:G93)/2</f>
        <v>9.5843040474958769</v>
      </c>
      <c r="H94" s="62"/>
      <c r="I94" s="62"/>
      <c r="J94" s="62"/>
      <c r="K94" s="66"/>
      <c r="L94" s="62"/>
      <c r="M94" s="62"/>
      <c r="N94" s="62"/>
    </row>
    <row r="95" spans="1:14" ht="25.5" x14ac:dyDescent="0.2">
      <c r="A95" s="4"/>
      <c r="B95" s="316" t="s">
        <v>96</v>
      </c>
      <c r="C95" s="5" t="s">
        <v>348</v>
      </c>
      <c r="D95" s="91">
        <v>22.97</v>
      </c>
      <c r="E95" s="80">
        <v>25.74</v>
      </c>
      <c r="F95" s="85">
        <f>2109.41/80.39</f>
        <v>26.23970643114815</v>
      </c>
      <c r="G95" s="154">
        <f>150582737/8039400</f>
        <v>18.73059394979725</v>
      </c>
      <c r="H95" s="62"/>
      <c r="I95" s="62"/>
      <c r="J95" s="62"/>
      <c r="K95" s="62"/>
      <c r="L95" s="62"/>
      <c r="M95" s="62"/>
      <c r="N95" s="62"/>
    </row>
    <row r="96" spans="1:14" x14ac:dyDescent="0.25">
      <c r="A96" s="4"/>
      <c r="B96" s="316"/>
      <c r="C96" s="5" t="s">
        <v>92</v>
      </c>
      <c r="D96" s="92" t="s">
        <v>126</v>
      </c>
      <c r="E96" s="80"/>
      <c r="F96" s="80"/>
      <c r="G96" s="25"/>
      <c r="H96" s="62"/>
      <c r="I96" s="62"/>
      <c r="J96" s="62"/>
      <c r="K96" s="62"/>
      <c r="L96" s="62"/>
      <c r="M96" s="62"/>
      <c r="N96" s="62"/>
    </row>
    <row r="97" spans="1:14" x14ac:dyDescent="0.25">
      <c r="A97" s="4"/>
      <c r="B97" s="386"/>
      <c r="C97" s="25" t="s">
        <v>349</v>
      </c>
      <c r="D97" s="92">
        <v>59.18</v>
      </c>
      <c r="E97" s="80">
        <v>59.32</v>
      </c>
      <c r="F97" s="85">
        <f>59321.97/903.4</f>
        <v>65.665231348239985</v>
      </c>
      <c r="G97" s="154">
        <f>(64593.8*100000)/90343500</f>
        <v>71.498004837093987</v>
      </c>
      <c r="H97" s="62"/>
      <c r="I97" s="62"/>
      <c r="J97" s="62"/>
      <c r="K97" s="62"/>
      <c r="L97" s="62"/>
      <c r="M97" s="62"/>
      <c r="N97" s="62"/>
    </row>
    <row r="98" spans="1:14" x14ac:dyDescent="0.25">
      <c r="A98" s="4"/>
      <c r="B98" s="386"/>
      <c r="C98" s="25" t="s">
        <v>350</v>
      </c>
      <c r="D98" s="92">
        <v>67.099999999999994</v>
      </c>
      <c r="E98" s="80">
        <v>72.53</v>
      </c>
      <c r="F98" s="85">
        <f>12743.76/165.35</f>
        <v>77.071424251587544</v>
      </c>
      <c r="G98" s="154">
        <f>(12807.71*100000)/16535900</f>
        <v>77.453963799974602</v>
      </c>
      <c r="H98" s="62"/>
      <c r="I98" s="62"/>
      <c r="J98" s="62"/>
      <c r="K98" s="62"/>
      <c r="L98" s="62"/>
      <c r="M98" s="62"/>
      <c r="N98" s="62"/>
    </row>
    <row r="99" spans="1:14" x14ac:dyDescent="0.25">
      <c r="A99" s="4"/>
      <c r="B99" s="386"/>
      <c r="C99" s="5" t="s">
        <v>93</v>
      </c>
      <c r="D99" s="164">
        <f>SUM(D97:D98)/2</f>
        <v>63.14</v>
      </c>
      <c r="E99" s="165">
        <f>SUM(E97:E98)/2</f>
        <v>65.924999999999997</v>
      </c>
      <c r="F99" s="165">
        <f>SUM(F97:F98)/2</f>
        <v>71.368327799913772</v>
      </c>
      <c r="G99" s="165">
        <f>SUM(G97:G98)/2</f>
        <v>74.475984318534302</v>
      </c>
      <c r="H99" s="62"/>
      <c r="I99" s="62"/>
      <c r="J99" s="62"/>
      <c r="K99" s="62"/>
      <c r="L99" s="62"/>
      <c r="M99" s="62"/>
      <c r="N99" s="62"/>
    </row>
    <row r="100" spans="1:14" s="57" customFormat="1" x14ac:dyDescent="0.25">
      <c r="B100" s="387"/>
      <c r="C100" s="388"/>
      <c r="D100" s="388"/>
      <c r="E100" s="388"/>
      <c r="F100" s="388"/>
      <c r="G100" s="389"/>
    </row>
    <row r="101" spans="1:14" x14ac:dyDescent="0.25">
      <c r="A101" s="4"/>
      <c r="B101" s="376" t="s">
        <v>319</v>
      </c>
      <c r="C101" s="377"/>
      <c r="D101" s="377"/>
      <c r="E101" s="377"/>
      <c r="F101" s="377"/>
      <c r="G101" s="378"/>
      <c r="H101" s="62"/>
      <c r="I101" s="62"/>
      <c r="J101" s="62"/>
      <c r="K101" s="62"/>
      <c r="L101" s="62"/>
      <c r="M101" s="62"/>
      <c r="N101" s="62"/>
    </row>
    <row r="102" spans="1:14" x14ac:dyDescent="0.25">
      <c r="A102" s="4"/>
      <c r="B102" s="379" t="s">
        <v>128</v>
      </c>
      <c r="C102" s="380"/>
      <c r="D102" s="380"/>
      <c r="E102" s="380"/>
      <c r="F102" s="380"/>
      <c r="G102" s="381"/>
      <c r="H102" s="62"/>
      <c r="I102" s="62"/>
      <c r="J102" s="62"/>
      <c r="K102" s="62"/>
      <c r="L102" s="62"/>
      <c r="M102" s="62"/>
      <c r="N102" s="62"/>
    </row>
    <row r="103" spans="1:14" x14ac:dyDescent="0.25">
      <c r="A103" s="4"/>
      <c r="B103" s="353"/>
      <c r="C103" s="354"/>
      <c r="D103" s="354"/>
      <c r="E103" s="354"/>
      <c r="F103" s="354"/>
      <c r="G103" s="355"/>
      <c r="H103" s="62"/>
      <c r="I103" s="62"/>
      <c r="J103" s="62"/>
      <c r="K103" s="62"/>
      <c r="L103" s="62"/>
      <c r="M103" s="62"/>
      <c r="N103" s="62"/>
    </row>
    <row r="104" spans="1:14" x14ac:dyDescent="0.25">
      <c r="A104" s="26"/>
      <c r="B104" s="12"/>
      <c r="C104" s="323"/>
      <c r="D104" s="323"/>
      <c r="E104" s="323"/>
      <c r="F104" s="323"/>
      <c r="G104" s="323"/>
      <c r="H104" s="62"/>
      <c r="I104" s="62"/>
      <c r="J104" s="26"/>
      <c r="K104" s="26"/>
      <c r="L104" s="26"/>
      <c r="M104" s="26"/>
      <c r="N104" s="26"/>
    </row>
    <row r="105" spans="1:14" x14ac:dyDescent="0.25">
      <c r="A105" s="13">
        <v>14</v>
      </c>
      <c r="B105" s="70" t="s">
        <v>99</v>
      </c>
      <c r="C105" s="324" t="s">
        <v>48</v>
      </c>
      <c r="D105" s="325"/>
      <c r="E105" s="325"/>
      <c r="F105" s="325"/>
      <c r="G105" s="326"/>
      <c r="H105" s="26"/>
      <c r="I105" s="26"/>
      <c r="J105" s="26"/>
      <c r="K105" s="26"/>
      <c r="L105" s="26"/>
      <c r="M105" s="26"/>
      <c r="N105" s="26"/>
    </row>
    <row r="106" spans="1:14" x14ac:dyDescent="0.25">
      <c r="A106" s="71"/>
      <c r="B106" s="26"/>
      <c r="C106" s="84"/>
      <c r="D106" s="84"/>
      <c r="E106" s="84"/>
      <c r="F106" s="84"/>
      <c r="G106" s="84"/>
      <c r="H106" s="26"/>
      <c r="I106" s="26"/>
      <c r="J106" s="26"/>
      <c r="K106" s="26"/>
      <c r="L106" s="26"/>
      <c r="M106" s="26"/>
      <c r="N106" s="26"/>
    </row>
    <row r="107" spans="1:14" x14ac:dyDescent="0.25">
      <c r="A107" s="26"/>
      <c r="B107" s="374" t="s">
        <v>351</v>
      </c>
      <c r="C107" s="375"/>
      <c r="D107" s="375"/>
      <c r="E107" s="375"/>
      <c r="F107" s="375"/>
      <c r="G107" s="375"/>
      <c r="H107" s="375"/>
      <c r="I107" s="26"/>
      <c r="J107" s="26"/>
      <c r="K107" s="26"/>
      <c r="L107" s="26"/>
      <c r="M107" s="26"/>
      <c r="N107" s="26"/>
    </row>
    <row r="108" spans="1:14" x14ac:dyDescent="0.25">
      <c r="A108" s="26"/>
      <c r="I108" s="26"/>
      <c r="J108" s="26"/>
      <c r="K108" s="26"/>
      <c r="L108" s="26"/>
      <c r="M108" s="26"/>
      <c r="N108" s="26"/>
    </row>
    <row r="109" spans="1:14" x14ac:dyDescent="0.25">
      <c r="A109" s="26"/>
      <c r="J109" s="26"/>
      <c r="K109" s="26"/>
      <c r="L109" s="26"/>
      <c r="M109" s="26"/>
      <c r="N109" s="26"/>
    </row>
  </sheetData>
  <sheetProtection password="E9DF" sheet="1" objects="1" scenarios="1"/>
  <mergeCells count="57">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53:B54"/>
    <mergeCell ref="C53:E54"/>
    <mergeCell ref="B35:E35"/>
    <mergeCell ref="B39:C39"/>
    <mergeCell ref="B42:E42"/>
    <mergeCell ref="C43:E43"/>
    <mergeCell ref="C44:E44"/>
    <mergeCell ref="C45:E45"/>
    <mergeCell ref="B46:E46"/>
    <mergeCell ref="B48:E48"/>
    <mergeCell ref="B52:E52"/>
    <mergeCell ref="B73:N73"/>
    <mergeCell ref="C55:E55"/>
    <mergeCell ref="C56:E56"/>
    <mergeCell ref="B57:E57"/>
    <mergeCell ref="B58:E58"/>
    <mergeCell ref="C61:E61"/>
    <mergeCell ref="B67:B68"/>
    <mergeCell ref="C67:C68"/>
    <mergeCell ref="D67:D68"/>
    <mergeCell ref="E67:E68"/>
    <mergeCell ref="F67:H67"/>
    <mergeCell ref="I67:K67"/>
    <mergeCell ref="L67:N67"/>
    <mergeCell ref="B71:N71"/>
    <mergeCell ref="B72:N72"/>
    <mergeCell ref="B74:N74"/>
    <mergeCell ref="B75:N75"/>
    <mergeCell ref="B77:G77"/>
    <mergeCell ref="B80:B84"/>
    <mergeCell ref="B85:B89"/>
    <mergeCell ref="B90:B94"/>
    <mergeCell ref="B95:B99"/>
    <mergeCell ref="B107:H107"/>
    <mergeCell ref="B100:G100"/>
    <mergeCell ref="B101:G101"/>
    <mergeCell ref="B102:G102"/>
    <mergeCell ref="B103:G103"/>
    <mergeCell ref="C104:G104"/>
    <mergeCell ref="C105:G10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opLeftCell="A36" workbookViewId="0">
      <selection activeCell="B51" sqref="B51:E51"/>
    </sheetView>
  </sheetViews>
  <sheetFormatPr defaultColWidth="8.85546875" defaultRowHeight="12.75" x14ac:dyDescent="0.25"/>
  <cols>
    <col min="1" max="1" width="8.85546875" style="73"/>
    <col min="2" max="2" width="40.28515625" style="73" customWidth="1"/>
    <col min="3" max="3" width="40.85546875" style="73" customWidth="1"/>
    <col min="4" max="4" width="22.85546875" style="73" customWidth="1"/>
    <col min="5" max="5" width="22.28515625" style="73" customWidth="1"/>
    <col min="6" max="6" width="19.85546875" style="73" customWidth="1"/>
    <col min="7" max="7" width="22.28515625" style="73" customWidth="1"/>
    <col min="8" max="8" width="8.85546875" style="73"/>
    <col min="9" max="9" width="10" style="73" bestFit="1" customWidth="1"/>
    <col min="10"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352</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353</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354</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305</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31.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22" t="s">
        <v>26</v>
      </c>
      <c r="E28" s="22" t="s">
        <v>355</v>
      </c>
      <c r="F28" s="19"/>
      <c r="G28" s="26"/>
      <c r="H28" s="26"/>
      <c r="I28" s="26"/>
      <c r="J28" s="26"/>
      <c r="K28" s="26"/>
      <c r="L28" s="26"/>
      <c r="M28" s="26"/>
      <c r="N28" s="26"/>
    </row>
    <row r="29" spans="1:14" x14ac:dyDescent="0.25">
      <c r="A29" s="13"/>
      <c r="B29" s="23" t="s">
        <v>28</v>
      </c>
      <c r="C29" s="25">
        <v>1187.48</v>
      </c>
      <c r="D29" s="25">
        <v>354.5</v>
      </c>
      <c r="E29" s="113">
        <v>2.79</v>
      </c>
      <c r="F29" s="19"/>
      <c r="G29" s="26"/>
      <c r="H29" s="26"/>
      <c r="I29" s="26"/>
      <c r="J29" s="26"/>
      <c r="K29" s="26"/>
      <c r="L29" s="26"/>
      <c r="M29" s="26"/>
      <c r="N29" s="26"/>
    </row>
    <row r="30" spans="1:14" x14ac:dyDescent="0.25">
      <c r="A30" s="13"/>
      <c r="B30" s="23" t="s">
        <v>29</v>
      </c>
      <c r="C30" s="25">
        <v>66.430000000000007</v>
      </c>
      <c r="D30" s="25">
        <v>16.079999999999998</v>
      </c>
      <c r="E30" s="113">
        <f>+-14.93</f>
        <v>-14.93</v>
      </c>
      <c r="F30" s="19"/>
      <c r="G30" s="26"/>
      <c r="H30" s="26"/>
      <c r="I30" s="26"/>
      <c r="J30" s="26"/>
      <c r="K30" s="26"/>
      <c r="L30" s="26"/>
      <c r="M30" s="26"/>
      <c r="N30" s="26"/>
    </row>
    <row r="31" spans="1:14" x14ac:dyDescent="0.25">
      <c r="A31" s="13"/>
      <c r="B31" s="23" t="s">
        <v>30</v>
      </c>
      <c r="C31" s="25">
        <v>352</v>
      </c>
      <c r="D31" s="25">
        <v>704</v>
      </c>
      <c r="E31" s="25">
        <v>704</v>
      </c>
      <c r="F31" s="19"/>
      <c r="G31" s="26"/>
      <c r="H31" s="26"/>
      <c r="I31" s="26"/>
      <c r="J31" s="26"/>
      <c r="K31" s="26"/>
      <c r="L31" s="26"/>
      <c r="M31" s="26"/>
      <c r="N31" s="26"/>
    </row>
    <row r="32" spans="1:14" x14ac:dyDescent="0.25">
      <c r="A32" s="13"/>
      <c r="B32" s="23" t="s">
        <v>31</v>
      </c>
      <c r="C32" s="25">
        <v>119.58</v>
      </c>
      <c r="D32" s="25">
        <v>199.59</v>
      </c>
      <c r="E32" s="113">
        <v>184.65</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4" t="s">
        <v>245</v>
      </c>
      <c r="D37" s="17"/>
      <c r="E37" s="17"/>
      <c r="F37" s="17"/>
      <c r="G37" s="26"/>
      <c r="H37" s="26"/>
      <c r="I37" s="26"/>
      <c r="J37" s="26"/>
      <c r="K37" s="26"/>
      <c r="L37" s="26"/>
      <c r="M37" s="26"/>
      <c r="N37" s="26"/>
    </row>
    <row r="38" spans="1:14" x14ac:dyDescent="0.25">
      <c r="A38" s="13"/>
      <c r="B38" s="27" t="s">
        <v>37</v>
      </c>
      <c r="C38" s="161" t="s">
        <v>245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71.25" customHeight="1" x14ac:dyDescent="0.25">
      <c r="A50" s="34"/>
      <c r="B50" s="94" t="s">
        <v>357</v>
      </c>
      <c r="C50" s="94" t="s">
        <v>358</v>
      </c>
      <c r="D50" s="142" t="s">
        <v>744</v>
      </c>
      <c r="E50" s="138" t="s">
        <v>126</v>
      </c>
      <c r="F50" s="26"/>
      <c r="G50" s="26"/>
      <c r="H50" s="26"/>
      <c r="I50" s="26"/>
      <c r="J50" s="26"/>
      <c r="K50" s="26"/>
      <c r="L50" s="26"/>
      <c r="M50" s="26"/>
    </row>
    <row r="51" spans="1:14" x14ac:dyDescent="0.25">
      <c r="A51" s="36"/>
      <c r="B51" s="345" t="s">
        <v>232</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ht="30.75" customHeight="1" x14ac:dyDescent="0.25">
      <c r="A53" s="29">
        <v>10</v>
      </c>
      <c r="B53" s="340" t="s">
        <v>41</v>
      </c>
      <c r="C53" s="333"/>
      <c r="D53" s="333"/>
      <c r="E53" s="333"/>
      <c r="F53" s="19"/>
      <c r="G53" s="19"/>
      <c r="H53" s="19"/>
      <c r="I53" s="26"/>
      <c r="J53" s="26"/>
      <c r="K53" s="26"/>
      <c r="L53" s="26"/>
      <c r="M53" s="26"/>
    </row>
    <row r="54" spans="1:14" x14ac:dyDescent="0.25">
      <c r="A54" s="34"/>
      <c r="B54" s="357" t="s">
        <v>50</v>
      </c>
      <c r="C54" s="394" t="s">
        <v>359</v>
      </c>
      <c r="D54" s="395"/>
      <c r="E54" s="396"/>
      <c r="F54" s="26"/>
      <c r="G54" s="26"/>
      <c r="H54" s="26"/>
      <c r="I54" s="26"/>
      <c r="J54" s="26"/>
      <c r="K54" s="2"/>
      <c r="L54" s="26"/>
      <c r="M54" s="26"/>
    </row>
    <row r="55" spans="1:14" ht="24" customHeight="1" x14ac:dyDescent="0.25">
      <c r="A55" s="34"/>
      <c r="B55" s="358"/>
      <c r="C55" s="397"/>
      <c r="D55" s="398"/>
      <c r="E55" s="399"/>
      <c r="F55" s="26"/>
      <c r="G55" s="26"/>
      <c r="H55" s="26"/>
      <c r="I55" s="26"/>
      <c r="J55" s="26"/>
      <c r="K55" s="2"/>
      <c r="L55" s="26"/>
      <c r="M55" s="26"/>
    </row>
    <row r="56" spans="1:14" ht="39" customHeight="1" x14ac:dyDescent="0.25">
      <c r="A56" s="29"/>
      <c r="B56" s="39" t="s">
        <v>54</v>
      </c>
      <c r="C56" s="344" t="s">
        <v>745</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s="76" customFormat="1" x14ac:dyDescent="0.2">
      <c r="A58" s="41" t="s">
        <v>57</v>
      </c>
      <c r="B58" s="384" t="s">
        <v>58</v>
      </c>
      <c r="C58" s="384"/>
      <c r="D58" s="384"/>
      <c r="E58" s="384"/>
    </row>
    <row r="59" spans="1:14" x14ac:dyDescent="0.25">
      <c r="A59" s="43"/>
      <c r="B59" s="44"/>
      <c r="C59" s="45"/>
      <c r="D59" s="46"/>
      <c r="E59" s="47"/>
      <c r="F59" s="40"/>
      <c r="G59" s="40"/>
      <c r="H59" s="40"/>
      <c r="I59" s="40"/>
      <c r="J59" s="40"/>
      <c r="K59" s="40"/>
      <c r="L59" s="40"/>
      <c r="M59" s="26"/>
      <c r="N59" s="26"/>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4" x14ac:dyDescent="0.25">
      <c r="A65" s="13"/>
      <c r="B65" s="21" t="s">
        <v>62</v>
      </c>
      <c r="C65" s="23" t="s">
        <v>360</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332</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x14ac:dyDescent="0.25">
      <c r="A69" s="4"/>
      <c r="B69" s="21" t="s">
        <v>165</v>
      </c>
      <c r="C69" s="53">
        <v>41.25</v>
      </c>
      <c r="D69" s="54">
        <v>36.75</v>
      </c>
      <c r="E69" s="54">
        <v>37.5</v>
      </c>
      <c r="F69" s="54">
        <v>38</v>
      </c>
      <c r="G69" s="54">
        <v>43.25</v>
      </c>
      <c r="H69" s="53">
        <v>33</v>
      </c>
      <c r="I69" s="53">
        <v>15.6</v>
      </c>
      <c r="J69" s="53">
        <v>43</v>
      </c>
      <c r="K69" s="53">
        <v>15.6</v>
      </c>
      <c r="L69" s="53">
        <v>8.6</v>
      </c>
      <c r="M69" s="53">
        <v>16</v>
      </c>
      <c r="N69" s="53">
        <v>8.35</v>
      </c>
    </row>
    <row r="70" spans="1:14" ht="25.5" x14ac:dyDescent="0.2">
      <c r="A70" s="4"/>
      <c r="B70" s="21" t="s">
        <v>166</v>
      </c>
      <c r="C70" s="53">
        <v>8677.9</v>
      </c>
      <c r="D70" s="53">
        <v>8111.6</v>
      </c>
      <c r="E70" s="53">
        <v>8412.7999999999993</v>
      </c>
      <c r="F70" s="54">
        <v>9173.75</v>
      </c>
      <c r="G70" s="54">
        <v>8659.1</v>
      </c>
      <c r="H70" s="54">
        <v>9030.4500000000007</v>
      </c>
      <c r="I70" s="54">
        <v>10113.700000000001</v>
      </c>
      <c r="J70" s="54">
        <v>11171.55</v>
      </c>
      <c r="K70" s="56">
        <v>9075.15</v>
      </c>
      <c r="L70" s="53">
        <v>11623.9</v>
      </c>
      <c r="M70" s="53">
        <v>11760.2</v>
      </c>
      <c r="N70" s="53">
        <v>10004.549999999999</v>
      </c>
    </row>
    <row r="71" spans="1:14" x14ac:dyDescent="0.25">
      <c r="A71" s="4"/>
      <c r="B71" s="331" t="s">
        <v>315</v>
      </c>
      <c r="C71" s="390"/>
      <c r="D71" s="390"/>
      <c r="E71" s="390"/>
      <c r="F71" s="331"/>
      <c r="G71" s="331"/>
      <c r="H71" s="331"/>
      <c r="I71" s="331"/>
      <c r="J71" s="331"/>
      <c r="K71" s="331"/>
      <c r="L71" s="331"/>
      <c r="M71" s="331"/>
      <c r="N71" s="331"/>
    </row>
    <row r="72" spans="1:14" ht="13.5" x14ac:dyDescent="0.25">
      <c r="A72" s="4"/>
      <c r="B72" s="383" t="s">
        <v>156</v>
      </c>
      <c r="C72" s="383"/>
      <c r="D72" s="383"/>
      <c r="E72" s="383"/>
      <c r="F72" s="383"/>
      <c r="G72" s="383"/>
      <c r="H72" s="383"/>
      <c r="I72" s="383"/>
      <c r="J72" s="383"/>
      <c r="K72" s="383"/>
      <c r="L72" s="383"/>
      <c r="M72" s="383"/>
      <c r="N72" s="383"/>
    </row>
    <row r="73" spans="1:14" x14ac:dyDescent="0.25">
      <c r="A73" s="4"/>
      <c r="B73" s="382" t="s">
        <v>79</v>
      </c>
      <c r="C73" s="382"/>
      <c r="D73" s="382"/>
      <c r="E73" s="382"/>
      <c r="F73" s="382"/>
      <c r="G73" s="382"/>
      <c r="H73" s="382"/>
      <c r="I73" s="382"/>
      <c r="J73" s="382"/>
      <c r="K73" s="382"/>
      <c r="L73" s="382"/>
      <c r="M73" s="382"/>
      <c r="N73" s="382"/>
    </row>
    <row r="74" spans="1:14" s="57" customFormat="1" x14ac:dyDescent="0.25">
      <c r="B74" s="382" t="s">
        <v>80</v>
      </c>
      <c r="C74" s="382"/>
      <c r="D74" s="382"/>
      <c r="E74" s="382"/>
      <c r="F74" s="382"/>
      <c r="G74" s="382"/>
      <c r="H74" s="382"/>
      <c r="I74" s="382"/>
      <c r="J74" s="382"/>
      <c r="K74" s="382"/>
      <c r="L74" s="382"/>
      <c r="M74" s="382"/>
      <c r="N74" s="382"/>
    </row>
    <row r="75" spans="1:14" x14ac:dyDescent="0.25">
      <c r="A75" s="4"/>
      <c r="B75" s="382" t="s">
        <v>117</v>
      </c>
      <c r="C75" s="382"/>
      <c r="D75" s="382"/>
      <c r="E75" s="382"/>
      <c r="F75" s="382"/>
      <c r="G75" s="382"/>
      <c r="H75" s="382"/>
      <c r="I75" s="382"/>
      <c r="J75" s="382"/>
      <c r="K75" s="382"/>
      <c r="L75" s="382"/>
      <c r="M75" s="382"/>
      <c r="N75" s="382"/>
    </row>
    <row r="76" spans="1:14" x14ac:dyDescent="0.25">
      <c r="A76" s="4"/>
      <c r="B76" s="382" t="s">
        <v>82</v>
      </c>
      <c r="C76" s="382"/>
      <c r="D76" s="382"/>
      <c r="E76" s="382"/>
      <c r="F76" s="382"/>
      <c r="G76" s="382"/>
      <c r="H76" s="382"/>
      <c r="I76" s="382"/>
      <c r="J76" s="382"/>
      <c r="K76" s="382"/>
      <c r="L76" s="382"/>
      <c r="M76" s="382"/>
      <c r="N76" s="382"/>
    </row>
    <row r="77" spans="1:14" x14ac:dyDescent="0.25">
      <c r="A77" s="4"/>
      <c r="B77" s="58"/>
      <c r="C77" s="58"/>
      <c r="D77" s="58"/>
      <c r="E77" s="58"/>
      <c r="F77" s="58"/>
      <c r="G77" s="17"/>
      <c r="H77" s="17"/>
      <c r="I77" s="17"/>
      <c r="J77" s="17"/>
      <c r="K77" s="17"/>
      <c r="L77" s="17"/>
      <c r="M77" s="17"/>
      <c r="N77" s="17"/>
    </row>
    <row r="78" spans="1:14" x14ac:dyDescent="0.25">
      <c r="A78" s="13">
        <v>13</v>
      </c>
      <c r="B78" s="338" t="s">
        <v>83</v>
      </c>
      <c r="C78" s="339"/>
      <c r="D78" s="339"/>
      <c r="E78" s="339"/>
      <c r="F78" s="339"/>
      <c r="G78" s="340"/>
      <c r="H78" s="15"/>
      <c r="I78" s="15"/>
      <c r="J78" s="15"/>
      <c r="K78" s="15"/>
      <c r="L78" s="15"/>
      <c r="M78" s="15"/>
      <c r="N78" s="15"/>
    </row>
    <row r="79" spans="1:14" x14ac:dyDescent="0.25">
      <c r="A79" s="13"/>
      <c r="B79" s="26"/>
      <c r="C79" s="19"/>
      <c r="D79" s="19"/>
      <c r="E79" s="19"/>
      <c r="F79" s="19"/>
      <c r="G79" s="19"/>
      <c r="H79" s="19"/>
      <c r="I79" s="19"/>
      <c r="J79" s="19"/>
      <c r="K79" s="19"/>
      <c r="L79" s="19"/>
      <c r="M79" s="19"/>
      <c r="N79" s="19"/>
    </row>
    <row r="80" spans="1:14" ht="63.75" x14ac:dyDescent="0.25">
      <c r="A80" s="4"/>
      <c r="B80" s="59" t="s">
        <v>84</v>
      </c>
      <c r="C80" s="22" t="s">
        <v>85</v>
      </c>
      <c r="D80" s="22" t="s">
        <v>86</v>
      </c>
      <c r="E80" s="22" t="s">
        <v>280</v>
      </c>
      <c r="F80" s="22" t="s">
        <v>361</v>
      </c>
      <c r="G80" s="22" t="s">
        <v>169</v>
      </c>
      <c r="H80" s="17"/>
      <c r="I80" s="17"/>
      <c r="J80" s="17"/>
      <c r="K80" s="17"/>
      <c r="L80" s="17"/>
      <c r="M80" s="17"/>
      <c r="N80" s="17"/>
    </row>
    <row r="81" spans="1:14" ht="12.75" customHeight="1" x14ac:dyDescent="0.2">
      <c r="A81" s="4"/>
      <c r="B81" s="316" t="s">
        <v>90</v>
      </c>
      <c r="C81" s="5" t="s">
        <v>362</v>
      </c>
      <c r="D81" s="91">
        <v>6.58</v>
      </c>
      <c r="E81" s="80">
        <v>1.89</v>
      </c>
      <c r="F81" s="80">
        <v>0.23</v>
      </c>
      <c r="G81" s="25">
        <v>-0.21</v>
      </c>
      <c r="H81" s="62"/>
      <c r="I81" s="62"/>
      <c r="J81" s="62"/>
      <c r="K81" s="62"/>
      <c r="L81" s="62"/>
      <c r="M81" s="62"/>
      <c r="N81" s="62"/>
    </row>
    <row r="82" spans="1:14" x14ac:dyDescent="0.25">
      <c r="A82" s="4"/>
      <c r="B82" s="316"/>
      <c r="C82" s="5" t="s">
        <v>92</v>
      </c>
      <c r="D82" s="92" t="s">
        <v>126</v>
      </c>
      <c r="E82" s="80"/>
      <c r="F82" s="80"/>
      <c r="G82" s="25"/>
      <c r="H82" s="62"/>
      <c r="I82" s="62"/>
      <c r="J82" s="62"/>
      <c r="K82" s="62"/>
      <c r="L82" s="62"/>
      <c r="M82" s="62"/>
      <c r="N82" s="62"/>
    </row>
    <row r="83" spans="1:14" x14ac:dyDescent="0.25">
      <c r="A83" s="4"/>
      <c r="B83" s="316"/>
      <c r="C83" s="25" t="s">
        <v>363</v>
      </c>
      <c r="D83" s="92">
        <v>3.2</v>
      </c>
      <c r="E83" s="80">
        <v>2.2999999999999998</v>
      </c>
      <c r="F83" s="80">
        <v>2.41</v>
      </c>
      <c r="G83" s="25">
        <v>1.71</v>
      </c>
      <c r="H83" s="62"/>
      <c r="I83" s="62"/>
      <c r="J83" s="62"/>
      <c r="K83" s="62"/>
      <c r="L83" s="62"/>
      <c r="M83" s="62"/>
      <c r="N83" s="62"/>
    </row>
    <row r="84" spans="1:14" x14ac:dyDescent="0.25">
      <c r="A84" s="4"/>
      <c r="B84" s="316"/>
      <c r="C84" s="25" t="s">
        <v>335</v>
      </c>
      <c r="D84" s="92">
        <v>1.8</v>
      </c>
      <c r="E84" s="80">
        <v>25.15</v>
      </c>
      <c r="F84" s="80">
        <v>9.23</v>
      </c>
      <c r="G84" s="25">
        <v>12.61</v>
      </c>
      <c r="H84" s="62"/>
      <c r="I84" s="62"/>
      <c r="J84" s="62"/>
      <c r="K84" s="62"/>
      <c r="L84" s="62"/>
      <c r="M84" s="62"/>
      <c r="N84" s="62"/>
    </row>
    <row r="85" spans="1:14" x14ac:dyDescent="0.25">
      <c r="A85" s="4"/>
      <c r="B85" s="316"/>
      <c r="C85" s="25" t="s">
        <v>364</v>
      </c>
      <c r="D85" s="92"/>
      <c r="E85" s="80">
        <v>2.29</v>
      </c>
      <c r="F85" s="80">
        <v>3.53</v>
      </c>
      <c r="G85" s="25">
        <v>0.79</v>
      </c>
      <c r="H85" s="62"/>
      <c r="I85" s="62"/>
      <c r="J85" s="62"/>
      <c r="K85" s="62"/>
      <c r="L85" s="62"/>
      <c r="M85" s="62"/>
      <c r="N85" s="62"/>
    </row>
    <row r="86" spans="1:14" x14ac:dyDescent="0.25">
      <c r="A86" s="4"/>
      <c r="B86" s="316"/>
      <c r="C86" s="25" t="s">
        <v>365</v>
      </c>
      <c r="D86" s="92">
        <v>12.8</v>
      </c>
      <c r="E86" s="80">
        <v>7.12</v>
      </c>
      <c r="F86" s="80">
        <v>4.51</v>
      </c>
      <c r="G86" s="25">
        <v>2.13</v>
      </c>
      <c r="H86" s="62"/>
      <c r="I86" s="62"/>
      <c r="J86" s="62"/>
      <c r="K86" s="62"/>
      <c r="L86" s="62"/>
      <c r="M86" s="62"/>
      <c r="N86" s="62"/>
    </row>
    <row r="87" spans="1:14" x14ac:dyDescent="0.25">
      <c r="A87" s="4"/>
      <c r="B87" s="316"/>
      <c r="C87" s="5" t="s">
        <v>93</v>
      </c>
      <c r="D87" s="92"/>
      <c r="E87" s="167">
        <f>SUM(E83:E86)/4</f>
        <v>9.2149999999999999</v>
      </c>
      <c r="F87" s="95">
        <f>SUM(F83:F86)/4</f>
        <v>4.92</v>
      </c>
      <c r="G87" s="95">
        <f>SUM(G83:G86)/4</f>
        <v>4.3099999999999996</v>
      </c>
      <c r="H87" s="62"/>
      <c r="I87" s="62"/>
      <c r="J87" s="62"/>
      <c r="K87" s="62"/>
      <c r="L87" s="62"/>
      <c r="M87" s="62"/>
      <c r="N87" s="62"/>
    </row>
    <row r="88" spans="1:14" x14ac:dyDescent="0.2">
      <c r="A88" s="4"/>
      <c r="B88" s="316" t="s">
        <v>94</v>
      </c>
      <c r="C88" s="5" t="s">
        <v>362</v>
      </c>
      <c r="D88" s="93">
        <v>6.08</v>
      </c>
      <c r="E88" s="80">
        <v>20.100000000000001</v>
      </c>
      <c r="F88" s="80">
        <v>143.47999999999999</v>
      </c>
      <c r="G88" s="154">
        <f>L69/G81</f>
        <v>-40.952380952380949</v>
      </c>
      <c r="H88" s="62"/>
      <c r="I88" s="62"/>
      <c r="J88" s="62"/>
      <c r="K88" s="62"/>
      <c r="L88" s="62"/>
      <c r="M88" s="62"/>
      <c r="N88" s="62"/>
    </row>
    <row r="89" spans="1:14" x14ac:dyDescent="0.25">
      <c r="A89" s="4"/>
      <c r="B89" s="316"/>
      <c r="C89" s="5" t="s">
        <v>92</v>
      </c>
      <c r="D89" s="92" t="s">
        <v>126</v>
      </c>
      <c r="E89" s="80"/>
      <c r="F89" s="80"/>
      <c r="G89" s="25"/>
      <c r="H89" s="62"/>
      <c r="I89" s="62"/>
      <c r="J89" s="62"/>
      <c r="K89" s="62"/>
      <c r="L89" s="62"/>
      <c r="M89" s="62"/>
      <c r="N89" s="62"/>
    </row>
    <row r="90" spans="1:14" x14ac:dyDescent="0.25">
      <c r="A90" s="4"/>
      <c r="B90" s="316"/>
      <c r="C90" s="25" t="s">
        <v>363</v>
      </c>
      <c r="D90" s="92">
        <v>7.5</v>
      </c>
      <c r="E90" s="80">
        <v>11.85</v>
      </c>
      <c r="F90" s="85">
        <f>28.25/F83</f>
        <v>11.721991701244812</v>
      </c>
      <c r="G90" s="154">
        <f>16.65/G83</f>
        <v>9.7368421052631575</v>
      </c>
      <c r="H90" s="62"/>
      <c r="I90" s="62"/>
      <c r="J90" s="62"/>
      <c r="K90" s="62"/>
      <c r="L90" s="62"/>
      <c r="M90" s="62"/>
      <c r="N90" s="62"/>
    </row>
    <row r="91" spans="1:14" x14ac:dyDescent="0.25">
      <c r="A91" s="4"/>
      <c r="B91" s="316"/>
      <c r="C91" s="25" t="s">
        <v>335</v>
      </c>
      <c r="D91" s="92">
        <v>20.6</v>
      </c>
      <c r="E91" s="80">
        <v>15.14</v>
      </c>
      <c r="F91" s="25">
        <v>49.91</v>
      </c>
      <c r="G91" s="154">
        <f>460.65/G84</f>
        <v>36.530531324345759</v>
      </c>
      <c r="H91" s="62"/>
      <c r="I91" s="62"/>
      <c r="J91" s="62"/>
      <c r="K91" s="62"/>
      <c r="L91" s="62"/>
      <c r="M91" s="62"/>
      <c r="N91" s="62"/>
    </row>
    <row r="92" spans="1:14" x14ac:dyDescent="0.25">
      <c r="A92" s="4"/>
      <c r="B92" s="316"/>
      <c r="C92" s="25" t="s">
        <v>364</v>
      </c>
      <c r="D92" s="92">
        <v>10.6</v>
      </c>
      <c r="E92" s="80">
        <v>21.61</v>
      </c>
      <c r="F92" s="85">
        <f>124.9/F85</f>
        <v>35.38243626062323</v>
      </c>
      <c r="G92" s="154">
        <f>18.8/G85</f>
        <v>23.797468354430379</v>
      </c>
      <c r="H92" s="62"/>
      <c r="I92" s="62"/>
      <c r="J92" s="62"/>
      <c r="K92" s="62"/>
      <c r="L92" s="62"/>
      <c r="M92" s="62"/>
      <c r="N92" s="62"/>
    </row>
    <row r="93" spans="1:14" x14ac:dyDescent="0.25">
      <c r="A93" s="4"/>
      <c r="B93" s="316"/>
      <c r="C93" s="25" t="s">
        <v>365</v>
      </c>
      <c r="D93" s="92">
        <v>13.7</v>
      </c>
      <c r="E93" s="80">
        <v>31.96</v>
      </c>
      <c r="F93" s="85">
        <f>153.9/F86</f>
        <v>34.124168514412418</v>
      </c>
      <c r="G93" s="154">
        <f>115.1/G86</f>
        <v>54.037558685446008</v>
      </c>
      <c r="H93" s="62"/>
      <c r="I93" s="62"/>
      <c r="J93" s="62"/>
      <c r="K93" s="62"/>
      <c r="L93" s="62"/>
      <c r="M93" s="62"/>
      <c r="N93" s="62"/>
    </row>
    <row r="94" spans="1:14" x14ac:dyDescent="0.25">
      <c r="A94" s="4"/>
      <c r="B94" s="316"/>
      <c r="C94" s="5" t="s">
        <v>93</v>
      </c>
      <c r="D94" s="164">
        <f>SUM(D90:D93)/4</f>
        <v>13.100000000000001</v>
      </c>
      <c r="E94" s="165">
        <f>SUM(E90:E93)/4</f>
        <v>20.14</v>
      </c>
      <c r="F94" s="165">
        <f>SUM(F90:F93)/4</f>
        <v>32.78464911907011</v>
      </c>
      <c r="G94" s="165">
        <f>SUM(G90:G93)/4</f>
        <v>31.025600117371326</v>
      </c>
      <c r="H94" s="62"/>
      <c r="I94" s="62"/>
      <c r="J94" s="62"/>
      <c r="K94" s="62"/>
      <c r="L94" s="62"/>
      <c r="M94" s="62"/>
      <c r="N94" s="62"/>
    </row>
    <row r="95" spans="1:14" x14ac:dyDescent="0.2">
      <c r="A95" s="4"/>
      <c r="B95" s="316" t="s">
        <v>95</v>
      </c>
      <c r="C95" s="5" t="s">
        <v>362</v>
      </c>
      <c r="D95" s="91">
        <v>39.700000000000003</v>
      </c>
      <c r="E95" s="80">
        <v>14.08</v>
      </c>
      <c r="F95" s="108">
        <v>1.78E-2</v>
      </c>
      <c r="G95" s="154">
        <f>-1493363/88866212*100</f>
        <v>-1.6804620860850918</v>
      </c>
      <c r="H95" s="62"/>
      <c r="I95" s="62"/>
      <c r="J95" s="62"/>
      <c r="K95" s="62"/>
      <c r="L95" s="62"/>
      <c r="M95" s="62"/>
      <c r="N95" s="62"/>
    </row>
    <row r="96" spans="1:14" x14ac:dyDescent="0.25">
      <c r="A96" s="4"/>
      <c r="B96" s="316"/>
      <c r="C96" s="5" t="s">
        <v>92</v>
      </c>
      <c r="D96" s="92" t="s">
        <v>126</v>
      </c>
      <c r="E96" s="80"/>
      <c r="F96" s="80"/>
      <c r="G96" s="25"/>
      <c r="H96" s="62"/>
      <c r="I96" s="62"/>
      <c r="J96" s="62"/>
      <c r="K96" s="62"/>
      <c r="L96" s="62"/>
      <c r="M96" s="62"/>
      <c r="N96" s="62"/>
    </row>
    <row r="97" spans="1:14" x14ac:dyDescent="0.25">
      <c r="A97" s="4"/>
      <c r="B97" s="316"/>
      <c r="C97" s="25" t="s">
        <v>363</v>
      </c>
      <c r="D97" s="92">
        <v>2.7</v>
      </c>
      <c r="E97" s="80">
        <v>5.12</v>
      </c>
      <c r="F97" s="86">
        <f>313.02/6238.41</f>
        <v>5.0176246832125494E-2</v>
      </c>
      <c r="G97" s="154">
        <f>295.95/6534.37*100</f>
        <v>4.5291282862770244</v>
      </c>
      <c r="H97" s="62"/>
      <c r="I97" s="62"/>
      <c r="J97" s="62"/>
      <c r="K97" s="62"/>
      <c r="L97" s="62"/>
      <c r="M97" s="62"/>
      <c r="N97" s="62"/>
    </row>
    <row r="98" spans="1:14" x14ac:dyDescent="0.25">
      <c r="A98" s="4"/>
      <c r="B98" s="316"/>
      <c r="C98" s="25" t="s">
        <v>335</v>
      </c>
      <c r="D98" s="92">
        <v>42</v>
      </c>
      <c r="E98" s="80">
        <v>8.8699999999999992</v>
      </c>
      <c r="F98" s="86">
        <f>12359.22/160263.62</f>
        <v>7.7118063350871513E-2</v>
      </c>
      <c r="G98" s="154">
        <f>18454.95/292475.47*100</f>
        <v>6.3099137852483844</v>
      </c>
      <c r="H98" s="62"/>
      <c r="I98" s="62"/>
      <c r="J98" s="62"/>
      <c r="K98" s="62"/>
      <c r="L98" s="62"/>
      <c r="M98" s="62"/>
      <c r="N98" s="62"/>
    </row>
    <row r="99" spans="1:14" x14ac:dyDescent="0.25">
      <c r="A99" s="4"/>
      <c r="B99" s="316"/>
      <c r="C99" s="25" t="s">
        <v>364</v>
      </c>
      <c r="D99" s="92">
        <v>13.7</v>
      </c>
      <c r="E99" s="80">
        <v>9.25</v>
      </c>
      <c r="F99" s="157">
        <v>1.4200000000000001E-2</v>
      </c>
      <c r="G99" s="154">
        <f>-837.39/9180.75*100</f>
        <v>-9.1211502328241156</v>
      </c>
      <c r="H99" s="62"/>
      <c r="I99" s="62"/>
      <c r="J99" s="62"/>
      <c r="K99" s="62"/>
      <c r="L99" s="62"/>
      <c r="M99" s="62"/>
      <c r="N99" s="62"/>
    </row>
    <row r="100" spans="1:14" x14ac:dyDescent="0.25">
      <c r="A100" s="4"/>
      <c r="B100" s="316"/>
      <c r="C100" s="25" t="s">
        <v>365</v>
      </c>
      <c r="D100" s="92">
        <v>9.6999999999999993</v>
      </c>
      <c r="E100" s="80">
        <v>10.07</v>
      </c>
      <c r="F100" s="86">
        <f>3874/76646</f>
        <v>5.0544059703050384E-2</v>
      </c>
      <c r="G100" s="154">
        <f>1767/78516*100</f>
        <v>2.250496714045545</v>
      </c>
      <c r="H100" s="62"/>
      <c r="I100" s="62"/>
      <c r="J100" s="62"/>
      <c r="K100" s="62"/>
      <c r="L100" s="62"/>
      <c r="M100" s="62"/>
      <c r="N100" s="62"/>
    </row>
    <row r="101" spans="1:14" x14ac:dyDescent="0.25">
      <c r="A101" s="4"/>
      <c r="B101" s="316"/>
      <c r="C101" s="5" t="s">
        <v>93</v>
      </c>
      <c r="D101" s="164">
        <f>SUM(D97:D100)/4</f>
        <v>17.025000000000002</v>
      </c>
      <c r="E101" s="165">
        <f>SUM(E97:E100)/4</f>
        <v>8.3275000000000006</v>
      </c>
      <c r="F101" s="165">
        <f>SUM(F97:F100)/4</f>
        <v>4.8009592471511847E-2</v>
      </c>
      <c r="G101" s="165">
        <f>SUM(G97:G100)/4</f>
        <v>0.99209713818670953</v>
      </c>
      <c r="H101" s="62"/>
      <c r="I101" s="62"/>
      <c r="J101" s="62"/>
      <c r="K101" s="66"/>
      <c r="L101" s="62"/>
      <c r="M101" s="62"/>
      <c r="N101" s="62"/>
    </row>
    <row r="102" spans="1:14" x14ac:dyDescent="0.2">
      <c r="A102" s="4"/>
      <c r="B102" s="316" t="s">
        <v>96</v>
      </c>
      <c r="C102" s="5" t="s">
        <v>362</v>
      </c>
      <c r="D102" s="91">
        <v>331.72</v>
      </c>
      <c r="E102" s="80">
        <v>13.4</v>
      </c>
      <c r="F102" s="80">
        <v>12.84</v>
      </c>
      <c r="G102" s="154">
        <f>88866212/7040040</f>
        <v>12.62296975585366</v>
      </c>
      <c r="H102" s="62"/>
      <c r="I102" s="62"/>
      <c r="J102" s="62"/>
      <c r="K102" s="62"/>
      <c r="L102" s="62"/>
      <c r="M102" s="62"/>
      <c r="N102" s="62"/>
    </row>
    <row r="103" spans="1:14" x14ac:dyDescent="0.25">
      <c r="A103" s="4"/>
      <c r="B103" s="316"/>
      <c r="C103" s="5" t="s">
        <v>92</v>
      </c>
      <c r="D103" s="92" t="s">
        <v>126</v>
      </c>
      <c r="E103" s="80"/>
      <c r="F103" s="80"/>
      <c r="G103" s="25"/>
      <c r="H103" s="62"/>
      <c r="I103" s="62"/>
      <c r="J103" s="62"/>
      <c r="K103" s="62"/>
      <c r="L103" s="62"/>
      <c r="M103" s="62"/>
      <c r="N103" s="62"/>
    </row>
    <row r="104" spans="1:14" x14ac:dyDescent="0.25">
      <c r="A104" s="4"/>
      <c r="B104" s="386"/>
      <c r="C104" s="25" t="s">
        <v>363</v>
      </c>
      <c r="D104" s="92">
        <v>43.9</v>
      </c>
      <c r="E104" s="80">
        <v>45.6</v>
      </c>
      <c r="F104" s="85">
        <f>6238.41/129.93</f>
        <v>48.013622719926111</v>
      </c>
      <c r="G104" s="154">
        <f>6534.37*100000/17321900</f>
        <v>37.723171245648572</v>
      </c>
      <c r="H104" s="62"/>
      <c r="I104" s="62"/>
      <c r="J104" s="62"/>
      <c r="K104" s="62"/>
      <c r="L104" s="62"/>
      <c r="M104" s="62"/>
      <c r="N104" s="62"/>
    </row>
    <row r="105" spans="1:14" x14ac:dyDescent="0.25">
      <c r="A105" s="4"/>
      <c r="B105" s="386"/>
      <c r="C105" s="25" t="s">
        <v>335</v>
      </c>
      <c r="D105" s="92">
        <v>22.6</v>
      </c>
      <c r="E105" s="80">
        <v>149.69</v>
      </c>
      <c r="F105" s="154">
        <f>27078033000/146344861</f>
        <v>185.02892971417697</v>
      </c>
      <c r="G105" s="154">
        <f>29247547000/146344861</f>
        <v>199.85359786566062</v>
      </c>
      <c r="H105" s="62"/>
      <c r="I105" s="62"/>
      <c r="J105" s="62"/>
      <c r="K105" s="62"/>
      <c r="L105" s="62"/>
      <c r="M105" s="62"/>
      <c r="N105" s="62"/>
    </row>
    <row r="106" spans="1:14" x14ac:dyDescent="0.25">
      <c r="A106" s="4"/>
      <c r="B106" s="386"/>
      <c r="C106" s="25" t="s">
        <v>364</v>
      </c>
      <c r="D106" s="92">
        <v>112</v>
      </c>
      <c r="E106" s="80">
        <v>24.77</v>
      </c>
      <c r="F106" s="85">
        <f>2708.74/104.72</f>
        <v>25.86650114591291</v>
      </c>
      <c r="G106" s="154">
        <f>281046186/10472000</f>
        <v>26.837871084797555</v>
      </c>
      <c r="H106" s="62"/>
      <c r="I106" s="62"/>
      <c r="J106" s="62"/>
      <c r="K106" s="62"/>
      <c r="L106" s="62"/>
      <c r="M106" s="62"/>
      <c r="N106" s="62"/>
    </row>
    <row r="107" spans="1:14" x14ac:dyDescent="0.25">
      <c r="A107" s="4"/>
      <c r="B107" s="386"/>
      <c r="C107" s="25" t="s">
        <v>365</v>
      </c>
      <c r="D107" s="92">
        <v>50.9</v>
      </c>
      <c r="E107" s="80">
        <v>70.680000000000007</v>
      </c>
      <c r="F107" s="85">
        <f>76646/1023.5</f>
        <v>74.886174890083055</v>
      </c>
      <c r="G107" s="154">
        <f>78516*100000/204704198</f>
        <v>38.355832839344117</v>
      </c>
      <c r="H107" s="62"/>
      <c r="I107" s="62"/>
      <c r="J107" s="62"/>
      <c r="K107" s="62"/>
      <c r="L107" s="62"/>
      <c r="M107" s="62"/>
      <c r="N107" s="62"/>
    </row>
    <row r="108" spans="1:14" x14ac:dyDescent="0.25">
      <c r="A108" s="4"/>
      <c r="B108" s="386"/>
      <c r="C108" s="5" t="s">
        <v>93</v>
      </c>
      <c r="D108" s="169">
        <f>SUM(D104:D107)/4</f>
        <v>57.35</v>
      </c>
      <c r="E108" s="167">
        <f>SUM(E104:E107)/4</f>
        <v>72.685000000000002</v>
      </c>
      <c r="F108" s="167">
        <f>SUM(F104:F107)/4</f>
        <v>83.448807117524765</v>
      </c>
      <c r="G108" s="167">
        <f>SUM(G104:G107)/4</f>
        <v>75.692618258862723</v>
      </c>
      <c r="H108" s="62"/>
      <c r="I108" s="62"/>
      <c r="J108" s="62"/>
      <c r="K108" s="62"/>
      <c r="L108" s="62"/>
      <c r="M108" s="62"/>
      <c r="N108" s="62"/>
    </row>
    <row r="109" spans="1:14" s="57" customFormat="1" x14ac:dyDescent="0.25">
      <c r="B109" s="387"/>
      <c r="C109" s="388"/>
      <c r="D109" s="388"/>
      <c r="E109" s="388"/>
      <c r="F109" s="388"/>
      <c r="G109" s="389"/>
      <c r="I109" s="62"/>
    </row>
    <row r="110" spans="1:14" x14ac:dyDescent="0.25">
      <c r="A110" s="4"/>
      <c r="B110" s="376" t="s">
        <v>319</v>
      </c>
      <c r="C110" s="377"/>
      <c r="D110" s="377"/>
      <c r="E110" s="377"/>
      <c r="F110" s="377"/>
      <c r="G110" s="378"/>
      <c r="H110" s="62"/>
      <c r="I110" s="62"/>
      <c r="J110" s="62"/>
      <c r="K110" s="62"/>
      <c r="L110" s="62"/>
      <c r="M110" s="62"/>
      <c r="N110" s="62"/>
    </row>
    <row r="111" spans="1:14" x14ac:dyDescent="0.25">
      <c r="A111" s="4"/>
      <c r="B111" s="379" t="s">
        <v>128</v>
      </c>
      <c r="C111" s="380"/>
      <c r="D111" s="380"/>
      <c r="E111" s="380"/>
      <c r="F111" s="380"/>
      <c r="G111" s="381"/>
      <c r="H111" s="62"/>
      <c r="I111" s="62"/>
      <c r="J111" s="62"/>
      <c r="K111" s="62"/>
      <c r="L111" s="62"/>
      <c r="M111" s="62"/>
      <c r="N111" s="62"/>
    </row>
    <row r="112" spans="1:14" x14ac:dyDescent="0.25">
      <c r="A112" s="4"/>
      <c r="B112" s="353" t="s">
        <v>366</v>
      </c>
      <c r="C112" s="354"/>
      <c r="D112" s="354"/>
      <c r="E112" s="354"/>
      <c r="F112" s="354"/>
      <c r="G112" s="355"/>
      <c r="H112" s="62"/>
      <c r="I112" s="62"/>
      <c r="J112" s="62"/>
      <c r="K112" s="62"/>
      <c r="L112" s="62"/>
      <c r="M112" s="62"/>
      <c r="N112" s="62"/>
    </row>
    <row r="113" spans="1:14" x14ac:dyDescent="0.25">
      <c r="A113" s="26"/>
      <c r="B113" s="12"/>
      <c r="C113" s="323"/>
      <c r="D113" s="323"/>
      <c r="E113" s="323"/>
      <c r="F113" s="323"/>
      <c r="G113" s="323"/>
      <c r="H113" s="62"/>
      <c r="I113" s="62"/>
      <c r="J113" s="26"/>
      <c r="K113" s="26"/>
      <c r="L113" s="26"/>
      <c r="M113" s="26"/>
      <c r="N113" s="26"/>
    </row>
    <row r="114" spans="1:14" x14ac:dyDescent="0.25">
      <c r="A114" s="13">
        <v>14</v>
      </c>
      <c r="B114" s="70" t="s">
        <v>99</v>
      </c>
      <c r="C114" s="324" t="s">
        <v>48</v>
      </c>
      <c r="D114" s="325"/>
      <c r="E114" s="325"/>
      <c r="F114" s="325"/>
      <c r="G114" s="326"/>
      <c r="H114" s="26"/>
      <c r="I114" s="26"/>
      <c r="J114" s="26"/>
      <c r="K114" s="26"/>
      <c r="L114" s="26"/>
      <c r="M114" s="26"/>
      <c r="N114" s="26"/>
    </row>
    <row r="115" spans="1:14" x14ac:dyDescent="0.25">
      <c r="A115" s="71"/>
      <c r="B115" s="26"/>
      <c r="C115" s="84"/>
      <c r="D115" s="84"/>
      <c r="E115" s="84"/>
      <c r="F115" s="84"/>
      <c r="G115" s="84"/>
      <c r="H115" s="26"/>
      <c r="I115" s="26"/>
      <c r="J115" s="26"/>
      <c r="K115" s="26"/>
      <c r="L115" s="26"/>
      <c r="M115" s="26"/>
      <c r="N115" s="26"/>
    </row>
    <row r="116" spans="1:14" x14ac:dyDescent="0.25">
      <c r="A116" s="26"/>
      <c r="B116" s="374" t="s">
        <v>338</v>
      </c>
      <c r="C116" s="375"/>
      <c r="D116" s="375"/>
      <c r="E116" s="375"/>
      <c r="F116" s="375"/>
      <c r="G116" s="375"/>
      <c r="H116" s="375"/>
      <c r="I116" s="26"/>
      <c r="J116" s="26"/>
      <c r="K116" s="26"/>
      <c r="L116" s="26"/>
      <c r="M116" s="26"/>
      <c r="N116" s="26"/>
    </row>
    <row r="117" spans="1:14" x14ac:dyDescent="0.25">
      <c r="A117" s="26"/>
      <c r="I117" s="26"/>
      <c r="J117" s="26"/>
      <c r="K117" s="26"/>
      <c r="L117" s="26"/>
      <c r="M117" s="26"/>
      <c r="N117" s="26"/>
    </row>
    <row r="118" spans="1:14" x14ac:dyDescent="0.25">
      <c r="A118" s="26"/>
      <c r="J118" s="26"/>
      <c r="K118" s="26"/>
      <c r="L118" s="26"/>
      <c r="M118" s="26"/>
      <c r="N118" s="26"/>
    </row>
  </sheetData>
  <sheetProtection password="E9DF" sheet="1" objects="1" scenarios="1"/>
  <mergeCells count="58">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54:B55"/>
    <mergeCell ref="C54:E55"/>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C61:E61"/>
    <mergeCell ref="B67:B68"/>
    <mergeCell ref="C67:C68"/>
    <mergeCell ref="D67:D68"/>
    <mergeCell ref="E67:E68"/>
    <mergeCell ref="F67:H67"/>
    <mergeCell ref="I67:K67"/>
    <mergeCell ref="L67:N67"/>
    <mergeCell ref="B71:N71"/>
    <mergeCell ref="B72:N72"/>
    <mergeCell ref="B74:N74"/>
    <mergeCell ref="B75:N75"/>
    <mergeCell ref="B76:N76"/>
    <mergeCell ref="B78:G78"/>
    <mergeCell ref="B81:B87"/>
    <mergeCell ref="B88:B94"/>
    <mergeCell ref="B95:B101"/>
    <mergeCell ref="B102:B108"/>
    <mergeCell ref="B116:H116"/>
    <mergeCell ref="B109:G109"/>
    <mergeCell ref="B110:G110"/>
    <mergeCell ref="B111:G111"/>
    <mergeCell ref="B112:G112"/>
    <mergeCell ref="C113:G113"/>
    <mergeCell ref="C114:G11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topLeftCell="B40" workbookViewId="0">
      <selection activeCell="B53" sqref="B53"/>
    </sheetView>
  </sheetViews>
  <sheetFormatPr defaultColWidth="8.85546875" defaultRowHeight="12.75" x14ac:dyDescent="0.25"/>
  <cols>
    <col min="1" max="1" width="8.85546875" style="73"/>
    <col min="2" max="2" width="40.28515625" style="73" customWidth="1"/>
    <col min="3" max="3" width="40.85546875" style="73" customWidth="1"/>
    <col min="4" max="4" width="25.2851562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367</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368</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204</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305</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22" t="s">
        <v>325</v>
      </c>
      <c r="E28" s="22" t="s">
        <v>27</v>
      </c>
      <c r="F28" s="19"/>
      <c r="G28" s="26"/>
      <c r="H28" s="26"/>
      <c r="I28" s="26"/>
      <c r="J28" s="26"/>
      <c r="K28" s="26"/>
      <c r="L28" s="26"/>
      <c r="M28" s="26"/>
      <c r="N28" s="26"/>
    </row>
    <row r="29" spans="1:14" x14ac:dyDescent="0.25">
      <c r="A29" s="13"/>
      <c r="B29" s="23" t="s">
        <v>28</v>
      </c>
      <c r="C29" s="25">
        <v>2596.63</v>
      </c>
      <c r="D29" s="25">
        <v>3450.89</v>
      </c>
      <c r="E29" s="152">
        <v>1889.34</v>
      </c>
      <c r="F29" s="19"/>
      <c r="G29" s="26"/>
      <c r="H29" s="26"/>
      <c r="I29" s="26"/>
      <c r="J29" s="26"/>
      <c r="K29" s="26"/>
      <c r="L29" s="26"/>
      <c r="M29" s="26"/>
      <c r="N29" s="26"/>
    </row>
    <row r="30" spans="1:14" x14ac:dyDescent="0.25">
      <c r="A30" s="13"/>
      <c r="B30" s="23" t="s">
        <v>29</v>
      </c>
      <c r="C30" s="25">
        <v>36.5</v>
      </c>
      <c r="D30" s="25">
        <v>112.04</v>
      </c>
      <c r="E30" s="113">
        <v>131.74</v>
      </c>
      <c r="F30" s="19"/>
      <c r="G30" s="26"/>
      <c r="H30" s="26"/>
      <c r="I30" s="26"/>
      <c r="J30" s="26"/>
      <c r="K30" s="26"/>
      <c r="L30" s="26"/>
      <c r="M30" s="26"/>
      <c r="N30" s="26"/>
    </row>
    <row r="31" spans="1:14" x14ac:dyDescent="0.25">
      <c r="A31" s="13"/>
      <c r="B31" s="23" t="s">
        <v>30</v>
      </c>
      <c r="C31" s="25">
        <v>760.4</v>
      </c>
      <c r="D31" s="25">
        <v>760.4</v>
      </c>
      <c r="E31" s="152">
        <v>1217.5999999999999</v>
      </c>
      <c r="F31" s="19"/>
      <c r="G31" s="26"/>
      <c r="H31" s="26"/>
      <c r="I31" s="26"/>
      <c r="J31" s="26"/>
      <c r="K31" s="26"/>
      <c r="L31" s="26"/>
      <c r="M31" s="26"/>
      <c r="N31" s="26"/>
    </row>
    <row r="32" spans="1:14" x14ac:dyDescent="0.25">
      <c r="A32" s="13"/>
      <c r="B32" s="23" t="s">
        <v>31</v>
      </c>
      <c r="C32" s="25">
        <v>627.66999999999996</v>
      </c>
      <c r="D32" s="25">
        <v>739.71</v>
      </c>
      <c r="E32" s="152">
        <v>1153.9000000000001</v>
      </c>
      <c r="F32" s="19"/>
      <c r="G32" s="26"/>
      <c r="H32" s="26"/>
      <c r="I32" s="26"/>
      <c r="J32" s="26"/>
      <c r="K32" s="26"/>
      <c r="L32" s="26"/>
      <c r="M32" s="26"/>
      <c r="N32" s="26"/>
    </row>
    <row r="33" spans="1:14" x14ac:dyDescent="0.25">
      <c r="A33" s="13"/>
      <c r="B33" s="353" t="s">
        <v>306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139" t="s">
        <v>35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ht="39.75" customHeight="1" x14ac:dyDescent="0.25">
      <c r="A44" s="13"/>
      <c r="B44" s="21" t="s">
        <v>36</v>
      </c>
      <c r="C44" s="350" t="s">
        <v>793</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121.5" customHeight="1" x14ac:dyDescent="0.25">
      <c r="A50" s="34"/>
      <c r="B50" s="94" t="s">
        <v>369</v>
      </c>
      <c r="C50" s="94" t="s">
        <v>370</v>
      </c>
      <c r="D50" s="133" t="s">
        <v>746</v>
      </c>
      <c r="E50" s="94" t="s">
        <v>747</v>
      </c>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t="s">
        <v>817</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372</v>
      </c>
      <c r="D55" s="395"/>
      <c r="E55" s="396"/>
      <c r="F55" s="26"/>
      <c r="G55" s="26"/>
      <c r="H55" s="26"/>
      <c r="I55" s="26"/>
      <c r="J55" s="26"/>
      <c r="K55" s="2"/>
      <c r="L55" s="26"/>
      <c r="M55" s="26"/>
    </row>
    <row r="56" spans="1:14" ht="25.5" customHeight="1" x14ac:dyDescent="0.25">
      <c r="A56" s="34"/>
      <c r="B56" s="358"/>
      <c r="C56" s="397"/>
      <c r="D56" s="398"/>
      <c r="E56" s="399"/>
      <c r="F56" s="26"/>
      <c r="G56" s="26"/>
      <c r="H56" s="26"/>
      <c r="I56" s="26"/>
      <c r="J56" s="26"/>
      <c r="K56" s="2"/>
      <c r="L56" s="26"/>
      <c r="M56" s="26"/>
    </row>
    <row r="57" spans="1:14" ht="44.25" customHeight="1" x14ac:dyDescent="0.25">
      <c r="A57" s="29"/>
      <c r="B57" s="39" t="s">
        <v>54</v>
      </c>
      <c r="C57" s="344" t="s">
        <v>748</v>
      </c>
      <c r="D57" s="344"/>
      <c r="E57" s="344"/>
      <c r="F57" s="26"/>
      <c r="G57" s="26"/>
      <c r="H57" s="26"/>
      <c r="I57" s="26"/>
      <c r="J57" s="26"/>
      <c r="K57" s="12"/>
      <c r="L57" s="26"/>
      <c r="M57" s="26"/>
    </row>
    <row r="58" spans="1:14" ht="32.25" customHeight="1" x14ac:dyDescent="0.25">
      <c r="A58" s="34"/>
      <c r="B58" s="39" t="s">
        <v>55</v>
      </c>
      <c r="C58" s="344" t="s">
        <v>747</v>
      </c>
      <c r="D58" s="344"/>
      <c r="E58" s="344"/>
      <c r="F58" s="26"/>
      <c r="G58" s="26"/>
      <c r="H58" s="26"/>
      <c r="I58" s="26"/>
      <c r="J58" s="26"/>
      <c r="K58" s="40"/>
      <c r="L58" s="26"/>
      <c r="M58" s="26"/>
    </row>
    <row r="59" spans="1:14" x14ac:dyDescent="0.25">
      <c r="A59" s="34"/>
      <c r="B59" s="345" t="s">
        <v>371</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291</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347</v>
      </c>
      <c r="D69" s="372" t="s">
        <v>333</v>
      </c>
      <c r="E69" s="336" t="s">
        <v>294</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30</v>
      </c>
      <c r="D71" s="54">
        <v>28</v>
      </c>
      <c r="E71" s="54">
        <v>28.05</v>
      </c>
      <c r="F71" s="54">
        <v>27.5</v>
      </c>
      <c r="G71" s="54">
        <v>36</v>
      </c>
      <c r="H71" s="54">
        <v>26.5</v>
      </c>
      <c r="I71" s="53">
        <v>27.75</v>
      </c>
      <c r="J71" s="53">
        <v>33.75</v>
      </c>
      <c r="K71" s="53">
        <v>25</v>
      </c>
      <c r="L71" s="53">
        <v>19.600000000000001</v>
      </c>
      <c r="M71" s="53">
        <v>27.75</v>
      </c>
      <c r="N71" s="53">
        <v>13.6</v>
      </c>
    </row>
    <row r="72" spans="1:14" ht="25.5" x14ac:dyDescent="0.2">
      <c r="A72" s="4"/>
      <c r="B72" s="21" t="s">
        <v>166</v>
      </c>
      <c r="C72" s="53">
        <v>8659.1</v>
      </c>
      <c r="D72" s="53">
        <v>8111.6</v>
      </c>
      <c r="E72" s="53">
        <v>8412.7999999999993</v>
      </c>
      <c r="F72" s="54">
        <v>9173.75</v>
      </c>
      <c r="G72" s="54">
        <v>8699.4</v>
      </c>
      <c r="H72" s="54">
        <v>8128.75</v>
      </c>
      <c r="I72" s="54">
        <v>10113.700000000001</v>
      </c>
      <c r="J72" s="54">
        <v>11171.55</v>
      </c>
      <c r="K72" s="56">
        <v>9075.15</v>
      </c>
      <c r="L72" s="53">
        <v>11623.9</v>
      </c>
      <c r="M72" s="53">
        <v>11760.2</v>
      </c>
      <c r="N72" s="53">
        <v>10004.549999999999</v>
      </c>
    </row>
    <row r="73" spans="1:14" ht="13.5" x14ac:dyDescent="0.25">
      <c r="A73" s="4"/>
      <c r="B73" s="383" t="s">
        <v>156</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117</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51" x14ac:dyDescent="0.25">
      <c r="A81" s="4"/>
      <c r="B81" s="59" t="s">
        <v>84</v>
      </c>
      <c r="C81" s="22" t="s">
        <v>85</v>
      </c>
      <c r="D81" s="22" t="s">
        <v>86</v>
      </c>
      <c r="E81" s="22" t="s">
        <v>280</v>
      </c>
      <c r="F81" s="22" t="s">
        <v>361</v>
      </c>
      <c r="G81" s="22" t="s">
        <v>169</v>
      </c>
      <c r="H81" s="17"/>
      <c r="I81" s="17"/>
      <c r="J81" s="17"/>
      <c r="K81" s="17"/>
      <c r="L81" s="17"/>
      <c r="M81" s="17"/>
      <c r="N81" s="17"/>
    </row>
    <row r="82" spans="1:14" ht="12.75" customHeight="1" x14ac:dyDescent="0.2">
      <c r="A82" s="4"/>
      <c r="B82" s="316" t="s">
        <v>90</v>
      </c>
      <c r="C82" s="5" t="s">
        <v>373</v>
      </c>
      <c r="D82" s="91">
        <v>13.54</v>
      </c>
      <c r="E82" s="80">
        <v>0.48</v>
      </c>
      <c r="F82" s="80">
        <v>1.47</v>
      </c>
      <c r="G82" s="25">
        <v>1.28</v>
      </c>
      <c r="H82" s="62"/>
      <c r="I82" s="62"/>
      <c r="J82" s="62"/>
      <c r="K82" s="62"/>
      <c r="L82" s="62"/>
      <c r="M82" s="62"/>
      <c r="N82" s="62"/>
    </row>
    <row r="83" spans="1:14" x14ac:dyDescent="0.25">
      <c r="A83" s="4"/>
      <c r="B83" s="316"/>
      <c r="C83" s="5" t="s">
        <v>92</v>
      </c>
      <c r="D83" s="92" t="s">
        <v>126</v>
      </c>
      <c r="E83" s="80"/>
      <c r="F83" s="80"/>
      <c r="G83" s="25"/>
      <c r="H83" s="62"/>
      <c r="J83" s="62"/>
      <c r="K83" s="62"/>
      <c r="L83" s="62"/>
      <c r="M83" s="62"/>
      <c r="N83" s="62"/>
    </row>
    <row r="84" spans="1:14" x14ac:dyDescent="0.25">
      <c r="A84" s="4"/>
      <c r="B84" s="316"/>
      <c r="C84" s="25" t="s">
        <v>374</v>
      </c>
      <c r="D84" s="92">
        <v>1.4</v>
      </c>
      <c r="E84" s="80">
        <v>5.74</v>
      </c>
      <c r="F84" s="80">
        <v>10.86</v>
      </c>
      <c r="G84" s="25">
        <v>9.2200000000000006</v>
      </c>
      <c r="H84" s="62"/>
      <c r="J84" s="62"/>
      <c r="K84" s="62"/>
      <c r="L84" s="62"/>
      <c r="M84" s="62"/>
      <c r="N84" s="62"/>
    </row>
    <row r="85" spans="1:14" x14ac:dyDescent="0.25">
      <c r="A85" s="4"/>
      <c r="B85" s="316"/>
      <c r="C85" s="25" t="s">
        <v>375</v>
      </c>
      <c r="D85" s="92">
        <v>9.6</v>
      </c>
      <c r="E85" s="80">
        <v>17.18</v>
      </c>
      <c r="F85" s="80">
        <v>21.44</v>
      </c>
      <c r="G85" s="153">
        <v>18.5</v>
      </c>
      <c r="J85" s="62"/>
      <c r="K85" s="62"/>
      <c r="L85" s="62"/>
      <c r="M85" s="62"/>
      <c r="N85" s="62"/>
    </row>
    <row r="86" spans="1:14" x14ac:dyDescent="0.25">
      <c r="A86" s="4"/>
      <c r="B86" s="316"/>
      <c r="C86" s="25" t="s">
        <v>335</v>
      </c>
      <c r="D86" s="92">
        <v>22.2</v>
      </c>
      <c r="E86" s="80">
        <v>25.15</v>
      </c>
      <c r="F86" s="80">
        <v>9.23</v>
      </c>
      <c r="G86" s="25">
        <v>12.61</v>
      </c>
      <c r="J86" s="62"/>
      <c r="K86" s="62"/>
      <c r="L86" s="62"/>
      <c r="M86" s="62"/>
      <c r="N86" s="62"/>
    </row>
    <row r="87" spans="1:14" x14ac:dyDescent="0.25">
      <c r="A87" s="4"/>
      <c r="B87" s="316"/>
      <c r="C87" s="25" t="s">
        <v>365</v>
      </c>
      <c r="D87" s="92">
        <v>12.8</v>
      </c>
      <c r="E87" s="80">
        <v>7.12</v>
      </c>
      <c r="F87" s="80">
        <v>4.51</v>
      </c>
      <c r="G87" s="25">
        <v>2.13</v>
      </c>
      <c r="I87" s="62"/>
      <c r="J87" s="62"/>
      <c r="K87" s="62"/>
      <c r="L87" s="62"/>
      <c r="M87" s="62"/>
      <c r="N87" s="62"/>
    </row>
    <row r="88" spans="1:14" x14ac:dyDescent="0.25">
      <c r="A88" s="4"/>
      <c r="B88" s="316"/>
      <c r="C88" s="5" t="s">
        <v>93</v>
      </c>
      <c r="D88" s="164">
        <f>SUM(D84:D87)/4</f>
        <v>11.5</v>
      </c>
      <c r="E88" s="165">
        <f>SUM(E84:E87)/4</f>
        <v>13.797499999999999</v>
      </c>
      <c r="F88" s="165">
        <f>SUM(F84:F87)/4</f>
        <v>11.51</v>
      </c>
      <c r="G88" s="165">
        <f>SUM(G84:G87)/4</f>
        <v>10.615</v>
      </c>
      <c r="I88" s="62"/>
      <c r="J88" s="62"/>
      <c r="K88" s="62"/>
      <c r="L88" s="62"/>
      <c r="M88" s="62"/>
      <c r="N88" s="62"/>
    </row>
    <row r="89" spans="1:14" x14ac:dyDescent="0.2">
      <c r="A89" s="4"/>
      <c r="B89" s="316" t="s">
        <v>94</v>
      </c>
      <c r="C89" s="5" t="s">
        <v>373</v>
      </c>
      <c r="D89" s="93">
        <v>1.85</v>
      </c>
      <c r="E89" s="80">
        <v>57.29</v>
      </c>
      <c r="F89" s="85">
        <f>I71/F82</f>
        <v>18.877551020408163</v>
      </c>
      <c r="G89" s="154">
        <f>19.6/G82</f>
        <v>15.3125</v>
      </c>
      <c r="H89" s="62"/>
      <c r="I89" s="62"/>
      <c r="J89" s="62"/>
      <c r="K89" s="62"/>
      <c r="L89" s="62"/>
      <c r="M89" s="62"/>
      <c r="N89" s="62"/>
    </row>
    <row r="90" spans="1:14" x14ac:dyDescent="0.25">
      <c r="A90" s="4"/>
      <c r="B90" s="316"/>
      <c r="C90" s="5" t="s">
        <v>92</v>
      </c>
      <c r="D90" s="92" t="s">
        <v>126</v>
      </c>
      <c r="E90" s="80"/>
      <c r="F90" s="80"/>
      <c r="G90" s="25"/>
      <c r="H90" s="62"/>
      <c r="I90" s="62"/>
      <c r="J90" s="62"/>
      <c r="K90" s="62"/>
      <c r="L90" s="62"/>
      <c r="M90" s="62"/>
      <c r="N90" s="62"/>
    </row>
    <row r="91" spans="1:14" x14ac:dyDescent="0.25">
      <c r="A91" s="4"/>
      <c r="B91" s="316"/>
      <c r="C91" s="25" t="s">
        <v>374</v>
      </c>
      <c r="D91" s="92">
        <v>267.10000000000002</v>
      </c>
      <c r="E91" s="80">
        <v>67.17</v>
      </c>
      <c r="F91" s="85">
        <f>725.9/F84</f>
        <v>66.841620626151013</v>
      </c>
      <c r="G91" s="154">
        <f>814.35/G84</f>
        <v>88.324295010845987</v>
      </c>
      <c r="H91" s="62"/>
      <c r="I91" s="62"/>
      <c r="J91" s="62"/>
      <c r="K91" s="62"/>
      <c r="L91" s="62"/>
      <c r="M91" s="62"/>
      <c r="N91" s="62"/>
    </row>
    <row r="92" spans="1:14" x14ac:dyDescent="0.25">
      <c r="A92" s="4"/>
      <c r="B92" s="316"/>
      <c r="C92" s="25" t="s">
        <v>375</v>
      </c>
      <c r="D92" s="92">
        <v>16.2</v>
      </c>
      <c r="E92" s="80">
        <v>11.85</v>
      </c>
      <c r="F92" s="85">
        <f>240.6/F85</f>
        <v>11.222014925373134</v>
      </c>
      <c r="G92" s="154">
        <f>190.45/G85</f>
        <v>10.294594594594594</v>
      </c>
      <c r="H92" s="62"/>
      <c r="I92" s="62"/>
      <c r="J92" s="62"/>
      <c r="K92" s="62"/>
      <c r="L92" s="62"/>
      <c r="M92" s="62"/>
      <c r="N92" s="62"/>
    </row>
    <row r="93" spans="1:14" x14ac:dyDescent="0.25">
      <c r="A93" s="4"/>
      <c r="B93" s="316"/>
      <c r="C93" s="25" t="s">
        <v>335</v>
      </c>
      <c r="D93" s="92">
        <v>10.6</v>
      </c>
      <c r="E93" s="80">
        <v>15.14</v>
      </c>
      <c r="F93" s="85">
        <v>45.882990249187429</v>
      </c>
      <c r="G93" s="154">
        <f>460.65/G86</f>
        <v>36.530531324345759</v>
      </c>
      <c r="H93" s="62"/>
      <c r="I93" s="62"/>
      <c r="J93" s="62"/>
      <c r="K93" s="62"/>
      <c r="L93" s="62"/>
      <c r="M93" s="62"/>
      <c r="N93" s="62"/>
    </row>
    <row r="94" spans="1:14" x14ac:dyDescent="0.25">
      <c r="A94" s="4"/>
      <c r="B94" s="316"/>
      <c r="C94" s="25" t="s">
        <v>365</v>
      </c>
      <c r="D94" s="92">
        <v>13.7</v>
      </c>
      <c r="E94" s="80">
        <v>31.96</v>
      </c>
      <c r="F94" s="85">
        <v>34.124168514412418</v>
      </c>
      <c r="G94" s="154">
        <f>115.1/G87</f>
        <v>54.037558685446008</v>
      </c>
      <c r="H94" s="62"/>
      <c r="I94" s="62"/>
      <c r="J94" s="62"/>
      <c r="K94" s="62"/>
      <c r="L94" s="62"/>
      <c r="M94" s="62"/>
      <c r="N94" s="62"/>
    </row>
    <row r="95" spans="1:14" x14ac:dyDescent="0.25">
      <c r="A95" s="4"/>
      <c r="B95" s="316"/>
      <c r="C95" s="5" t="s">
        <v>93</v>
      </c>
      <c r="D95" s="164">
        <f>SUM(D91:D94)/4</f>
        <v>76.900000000000006</v>
      </c>
      <c r="E95" s="165">
        <f>SUM(E91:E94)/4</f>
        <v>31.53</v>
      </c>
      <c r="F95" s="165">
        <f>SUM(F91:F94)/4</f>
        <v>39.517698578780994</v>
      </c>
      <c r="G95" s="165">
        <f>SUM(G91:G94)/4</f>
        <v>47.29674490380809</v>
      </c>
      <c r="H95" s="62"/>
      <c r="I95" s="62"/>
      <c r="J95" s="62"/>
      <c r="K95" s="62"/>
      <c r="L95" s="62"/>
      <c r="M95" s="62"/>
      <c r="N95" s="62"/>
    </row>
    <row r="96" spans="1:14" x14ac:dyDescent="0.2">
      <c r="A96" s="4"/>
      <c r="B96" s="316" t="s">
        <v>95</v>
      </c>
      <c r="C96" s="5" t="s">
        <v>373</v>
      </c>
      <c r="D96" s="91">
        <v>10.46</v>
      </c>
      <c r="E96" s="80">
        <v>2.63</v>
      </c>
      <c r="F96" s="80"/>
      <c r="G96" s="25"/>
      <c r="H96" s="62"/>
      <c r="I96" s="62"/>
      <c r="J96" s="62"/>
      <c r="K96" s="62"/>
      <c r="L96" s="62"/>
      <c r="M96" s="62"/>
      <c r="N96" s="62"/>
    </row>
    <row r="97" spans="1:14" x14ac:dyDescent="0.25">
      <c r="A97" s="4"/>
      <c r="B97" s="316"/>
      <c r="C97" s="5" t="s">
        <v>92</v>
      </c>
      <c r="D97" s="92" t="s">
        <v>126</v>
      </c>
      <c r="E97" s="80"/>
      <c r="F97" s="80"/>
      <c r="G97" s="25"/>
      <c r="H97" s="62"/>
      <c r="I97" s="62"/>
      <c r="J97" s="62"/>
      <c r="K97" s="62"/>
      <c r="L97" s="62"/>
      <c r="M97" s="62"/>
      <c r="N97" s="62"/>
    </row>
    <row r="98" spans="1:14" x14ac:dyDescent="0.25">
      <c r="A98" s="4"/>
      <c r="B98" s="316"/>
      <c r="C98" s="25" t="s">
        <v>374</v>
      </c>
      <c r="D98" s="92">
        <v>4.5999999999999996</v>
      </c>
      <c r="E98" s="80">
        <v>3.1</v>
      </c>
      <c r="F98" s="86">
        <f>234.96/2231.81</f>
        <v>0.10527777902240783</v>
      </c>
      <c r="G98" s="154">
        <f>209.35/2657.05*100</f>
        <v>7.8790387836134057</v>
      </c>
      <c r="H98" s="62"/>
      <c r="I98" s="62"/>
      <c r="J98" s="62"/>
      <c r="K98" s="62"/>
      <c r="L98" s="62"/>
      <c r="M98" s="62"/>
      <c r="N98" s="62"/>
    </row>
    <row r="99" spans="1:14" x14ac:dyDescent="0.25">
      <c r="A99" s="4"/>
      <c r="B99" s="316"/>
      <c r="C99" s="25" t="s">
        <v>375</v>
      </c>
      <c r="D99" s="92">
        <v>6.2</v>
      </c>
      <c r="E99" s="80">
        <v>13.54</v>
      </c>
      <c r="F99" s="86">
        <f>7558/51652</f>
        <v>0.14632540850305895</v>
      </c>
      <c r="G99" s="154">
        <f>6617/57009*100</f>
        <v>11.606939255205319</v>
      </c>
      <c r="H99" s="62"/>
      <c r="I99" s="62"/>
      <c r="J99" s="62"/>
      <c r="K99" s="62"/>
      <c r="L99" s="62"/>
      <c r="M99" s="62"/>
      <c r="N99" s="62"/>
    </row>
    <row r="100" spans="1:14" x14ac:dyDescent="0.25">
      <c r="A100" s="4"/>
      <c r="B100" s="316"/>
      <c r="C100" s="25" t="s">
        <v>335</v>
      </c>
      <c r="D100" s="92">
        <v>13.7</v>
      </c>
      <c r="E100" s="80">
        <v>8.8699999999999992</v>
      </c>
      <c r="F100" s="86">
        <v>7.7118063350871513E-2</v>
      </c>
      <c r="G100" s="154">
        <f>18454.95/292475.47*100</f>
        <v>6.3099137852483844</v>
      </c>
      <c r="H100" s="62"/>
      <c r="I100" s="62"/>
      <c r="J100" s="62"/>
      <c r="K100" s="62"/>
      <c r="L100" s="62"/>
      <c r="M100" s="62"/>
      <c r="N100" s="62"/>
    </row>
    <row r="101" spans="1:14" x14ac:dyDescent="0.25">
      <c r="A101" s="4"/>
      <c r="B101" s="316"/>
      <c r="C101" s="25" t="s">
        <v>365</v>
      </c>
      <c r="D101" s="92">
        <v>9.6999999999999993</v>
      </c>
      <c r="E101" s="80">
        <v>10.07</v>
      </c>
      <c r="F101" s="86">
        <v>5.0544059703050384E-2</v>
      </c>
      <c r="G101" s="154">
        <f>1767/78516*100</f>
        <v>2.250496714045545</v>
      </c>
      <c r="H101" s="62"/>
      <c r="I101" s="62"/>
      <c r="J101" s="62"/>
      <c r="K101" s="62"/>
      <c r="L101" s="62"/>
      <c r="M101" s="62"/>
      <c r="N101" s="62"/>
    </row>
    <row r="102" spans="1:14" x14ac:dyDescent="0.25">
      <c r="A102" s="4"/>
      <c r="B102" s="316"/>
      <c r="C102" s="5" t="s">
        <v>93</v>
      </c>
      <c r="D102" s="164">
        <f>SUM(D98:D101)/4</f>
        <v>8.5500000000000007</v>
      </c>
      <c r="E102" s="165">
        <f>SUM(E98:E101)/4</f>
        <v>8.8949999999999996</v>
      </c>
      <c r="F102" s="165">
        <f>SUM(F98:F101)/4</f>
        <v>9.4816327644847168E-2</v>
      </c>
      <c r="G102" s="165">
        <f>SUM(G98:G101)/4</f>
        <v>7.0115971345281638</v>
      </c>
      <c r="H102" s="62"/>
      <c r="I102" s="62"/>
      <c r="J102" s="62"/>
      <c r="K102" s="66"/>
      <c r="L102" s="62"/>
      <c r="M102" s="62"/>
      <c r="N102" s="62"/>
    </row>
    <row r="103" spans="1:14" x14ac:dyDescent="0.2">
      <c r="A103" s="4"/>
      <c r="B103" s="316" t="s">
        <v>96</v>
      </c>
      <c r="C103" s="5" t="s">
        <v>373</v>
      </c>
      <c r="D103" s="91">
        <v>11.26</v>
      </c>
      <c r="E103" s="80">
        <v>18.25</v>
      </c>
      <c r="F103" s="80">
        <v>1.97</v>
      </c>
      <c r="G103" s="25">
        <v>1.95</v>
      </c>
      <c r="H103" s="62"/>
      <c r="I103" s="62"/>
      <c r="J103" s="62"/>
      <c r="K103" s="62"/>
      <c r="L103" s="62"/>
      <c r="M103" s="62"/>
      <c r="N103" s="62"/>
    </row>
    <row r="104" spans="1:14" x14ac:dyDescent="0.25">
      <c r="A104" s="4"/>
      <c r="B104" s="316"/>
      <c r="C104" s="5" t="s">
        <v>92</v>
      </c>
      <c r="D104" s="92" t="s">
        <v>126</v>
      </c>
      <c r="E104" s="80"/>
      <c r="F104" s="80"/>
      <c r="G104" s="25"/>
      <c r="H104" s="62"/>
      <c r="I104" s="62"/>
      <c r="J104" s="62"/>
      <c r="K104" s="62"/>
      <c r="L104" s="62"/>
      <c r="M104" s="62"/>
      <c r="N104" s="62"/>
    </row>
    <row r="105" spans="1:14" x14ac:dyDescent="0.25">
      <c r="A105" s="4"/>
      <c r="B105" s="386"/>
      <c r="C105" s="25" t="s">
        <v>374</v>
      </c>
      <c r="D105" s="92">
        <v>97.1</v>
      </c>
      <c r="E105" s="80">
        <v>92.61</v>
      </c>
      <c r="F105" s="85">
        <f>2231.81/10.82</f>
        <v>206.26709796672827</v>
      </c>
      <c r="G105" s="154">
        <f>2657.05*10000000/114660000</f>
        <v>231.73294959009246</v>
      </c>
      <c r="H105" s="62"/>
      <c r="I105" s="62"/>
      <c r="J105" s="62"/>
      <c r="K105" s="62"/>
      <c r="L105" s="62"/>
      <c r="M105" s="62"/>
      <c r="N105" s="62"/>
    </row>
    <row r="106" spans="1:14" x14ac:dyDescent="0.25">
      <c r="A106" s="4"/>
      <c r="B106" s="386"/>
      <c r="C106" s="25" t="s">
        <v>375</v>
      </c>
      <c r="D106" s="92">
        <v>110.5</v>
      </c>
      <c r="E106" s="80">
        <v>126.88</v>
      </c>
      <c r="F106" s="85">
        <f>51652/354.8</f>
        <v>145.58060879368657</v>
      </c>
      <c r="G106" s="154">
        <f>57009*100000/35480000</f>
        <v>160.67925591882752</v>
      </c>
      <c r="H106" s="62"/>
      <c r="I106" s="62"/>
      <c r="J106" s="62"/>
      <c r="K106" s="62"/>
      <c r="L106" s="62"/>
      <c r="M106" s="62"/>
      <c r="N106" s="62"/>
    </row>
    <row r="107" spans="1:14" x14ac:dyDescent="0.25">
      <c r="A107" s="4"/>
      <c r="B107" s="386"/>
      <c r="C107" s="25" t="s">
        <v>335</v>
      </c>
      <c r="D107" s="92">
        <v>112</v>
      </c>
      <c r="E107" s="80">
        <v>149.69</v>
      </c>
      <c r="F107" s="85">
        <v>109.53328093496907</v>
      </c>
      <c r="G107" s="154">
        <f>29247547000/146344861</f>
        <v>199.85359786566062</v>
      </c>
      <c r="H107" s="62"/>
      <c r="I107" s="62"/>
      <c r="J107" s="62"/>
      <c r="K107" s="62"/>
      <c r="L107" s="62"/>
      <c r="M107" s="62"/>
      <c r="N107" s="62"/>
    </row>
    <row r="108" spans="1:14" x14ac:dyDescent="0.25">
      <c r="A108" s="4"/>
      <c r="B108" s="386"/>
      <c r="C108" s="25" t="s">
        <v>365</v>
      </c>
      <c r="D108" s="92">
        <v>50.9</v>
      </c>
      <c r="E108" s="80">
        <v>70.680000000000007</v>
      </c>
      <c r="F108" s="85">
        <v>74.886174890083055</v>
      </c>
      <c r="G108" s="154">
        <f>78516*100000/204704198</f>
        <v>38.355832839344117</v>
      </c>
      <c r="H108" s="62"/>
      <c r="I108" s="62"/>
      <c r="J108" s="62"/>
      <c r="K108" s="62"/>
      <c r="L108" s="62"/>
      <c r="M108" s="62"/>
      <c r="N108" s="62"/>
    </row>
    <row r="109" spans="1:14" x14ac:dyDescent="0.25">
      <c r="A109" s="4"/>
      <c r="B109" s="386"/>
      <c r="C109" s="5" t="s">
        <v>93</v>
      </c>
      <c r="D109" s="164">
        <f>SUM(D105:D108)/4</f>
        <v>92.625</v>
      </c>
      <c r="E109" s="165">
        <f>SUM(E105:E108)/4</f>
        <v>109.965</v>
      </c>
      <c r="F109" s="165">
        <f>SUM(F105:F108)/4</f>
        <v>134.06679064636674</v>
      </c>
      <c r="G109" s="165">
        <f>SUM(G105:G108)/4</f>
        <v>157.65540905348118</v>
      </c>
      <c r="H109" s="62"/>
      <c r="I109" s="62"/>
      <c r="J109" s="62"/>
      <c r="K109" s="62"/>
      <c r="L109" s="62"/>
      <c r="M109" s="62"/>
      <c r="N109" s="62"/>
    </row>
    <row r="110" spans="1:14" s="57" customFormat="1" x14ac:dyDescent="0.25">
      <c r="B110" s="387"/>
      <c r="C110" s="388"/>
      <c r="D110" s="388"/>
      <c r="E110" s="388"/>
      <c r="F110" s="388"/>
      <c r="G110" s="389"/>
    </row>
    <row r="111" spans="1:14" x14ac:dyDescent="0.25">
      <c r="A111" s="4"/>
      <c r="B111" s="376" t="s">
        <v>376</v>
      </c>
      <c r="C111" s="377"/>
      <c r="D111" s="377"/>
      <c r="E111" s="377"/>
      <c r="F111" s="377"/>
      <c r="G111" s="378"/>
      <c r="H111" s="62"/>
      <c r="I111" s="62"/>
      <c r="J111" s="62"/>
      <c r="K111" s="62"/>
      <c r="L111" s="62"/>
      <c r="M111" s="62"/>
      <c r="N111" s="62"/>
    </row>
    <row r="112" spans="1:14" x14ac:dyDescent="0.25">
      <c r="A112" s="4"/>
      <c r="B112" s="379" t="s">
        <v>128</v>
      </c>
      <c r="C112" s="380"/>
      <c r="D112" s="380"/>
      <c r="E112" s="380"/>
      <c r="F112" s="380"/>
      <c r="G112" s="381"/>
      <c r="H112" s="62"/>
      <c r="I112" s="62"/>
      <c r="J112" s="62"/>
      <c r="K112" s="62"/>
      <c r="L112" s="62"/>
      <c r="M112" s="62"/>
      <c r="N112" s="62"/>
    </row>
    <row r="113" spans="1:14" x14ac:dyDescent="0.25">
      <c r="A113" s="4"/>
      <c r="B113" s="353" t="s">
        <v>366</v>
      </c>
      <c r="C113" s="354"/>
      <c r="D113" s="354"/>
      <c r="E113" s="354"/>
      <c r="F113" s="354"/>
      <c r="G113" s="355"/>
      <c r="H113" s="62"/>
      <c r="I113" s="62"/>
      <c r="J113" s="62"/>
      <c r="K113" s="62"/>
      <c r="L113" s="62"/>
      <c r="M113" s="62"/>
      <c r="N113" s="62"/>
    </row>
    <row r="114" spans="1:14" x14ac:dyDescent="0.25">
      <c r="A114" s="26"/>
      <c r="B114" s="12"/>
      <c r="C114" s="323"/>
      <c r="D114" s="323"/>
      <c r="E114" s="323"/>
      <c r="F114" s="323"/>
      <c r="G114" s="323"/>
      <c r="H114" s="62"/>
      <c r="I114" s="62"/>
      <c r="J114" s="26"/>
      <c r="K114" s="26"/>
      <c r="L114" s="26"/>
      <c r="M114" s="26"/>
      <c r="N114" s="26"/>
    </row>
    <row r="115" spans="1:14" x14ac:dyDescent="0.25">
      <c r="A115" s="13">
        <v>14</v>
      </c>
      <c r="B115" s="70" t="s">
        <v>99</v>
      </c>
      <c r="C115" s="324" t="s">
        <v>48</v>
      </c>
      <c r="D115" s="325"/>
      <c r="E115" s="325"/>
      <c r="F115" s="325"/>
      <c r="G115" s="326"/>
      <c r="H115" s="26"/>
      <c r="I115" s="26"/>
      <c r="J115" s="26"/>
      <c r="K115" s="26"/>
      <c r="L115" s="26"/>
      <c r="M115" s="26"/>
      <c r="N115" s="26"/>
    </row>
    <row r="116" spans="1:14" x14ac:dyDescent="0.25">
      <c r="A116" s="71"/>
      <c r="B116" s="26"/>
      <c r="C116" s="84"/>
      <c r="D116" s="84"/>
      <c r="E116" s="84"/>
      <c r="F116" s="84"/>
      <c r="G116" s="84"/>
      <c r="H116" s="26"/>
      <c r="I116" s="26"/>
      <c r="J116" s="26"/>
      <c r="K116" s="26"/>
      <c r="L116" s="26"/>
      <c r="M116" s="26"/>
      <c r="N116" s="26"/>
    </row>
    <row r="117" spans="1:14" x14ac:dyDescent="0.25">
      <c r="A117" s="26"/>
      <c r="B117" s="374" t="s">
        <v>351</v>
      </c>
      <c r="C117" s="375"/>
      <c r="D117" s="375"/>
      <c r="E117" s="375"/>
      <c r="F117" s="375"/>
      <c r="G117" s="375"/>
      <c r="H117" s="375"/>
      <c r="I117" s="26"/>
      <c r="J117" s="26"/>
      <c r="K117" s="26"/>
      <c r="L117" s="26"/>
      <c r="M117" s="26"/>
      <c r="N117" s="26"/>
    </row>
    <row r="118" spans="1:14" x14ac:dyDescent="0.25">
      <c r="A118" s="26"/>
      <c r="I118" s="26"/>
      <c r="J118" s="26"/>
      <c r="K118" s="26"/>
      <c r="L118" s="26"/>
      <c r="M118" s="26"/>
      <c r="N118" s="26"/>
    </row>
    <row r="119" spans="1:14" x14ac:dyDescent="0.25">
      <c r="A119" s="26"/>
      <c r="J119" s="26"/>
      <c r="K119" s="26"/>
      <c r="L119" s="26"/>
      <c r="M119" s="26"/>
      <c r="N119" s="26"/>
    </row>
  </sheetData>
  <sheetProtection password="E9DF" sheet="1" objects="1" scenarios="1"/>
  <mergeCells count="59">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55:B56"/>
    <mergeCell ref="C55:E56"/>
    <mergeCell ref="B35:E35"/>
    <mergeCell ref="B39:C39"/>
    <mergeCell ref="B42:E42"/>
    <mergeCell ref="C43:E43"/>
    <mergeCell ref="C44:E44"/>
    <mergeCell ref="C45:E45"/>
    <mergeCell ref="B46:E46"/>
    <mergeCell ref="B48:E48"/>
    <mergeCell ref="B51:E51"/>
    <mergeCell ref="B52:E52"/>
    <mergeCell ref="B54:E54"/>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76:N76"/>
    <mergeCell ref="B77:N77"/>
    <mergeCell ref="B79:G79"/>
    <mergeCell ref="B82:B88"/>
    <mergeCell ref="B89:B95"/>
    <mergeCell ref="B96:B102"/>
    <mergeCell ref="B103:B109"/>
    <mergeCell ref="B117:H117"/>
    <mergeCell ref="B110:G110"/>
    <mergeCell ref="B111:G111"/>
    <mergeCell ref="B112:G112"/>
    <mergeCell ref="B113:G113"/>
    <mergeCell ref="C114:G114"/>
    <mergeCell ref="C115:G115"/>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opLeftCell="A40" workbookViewId="0">
      <selection activeCell="C43" sqref="C43:E43"/>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6" t="s">
        <v>377</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378</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379</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32.25" customHeight="1"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380</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22" t="s">
        <v>325</v>
      </c>
      <c r="E28" s="22" t="s">
        <v>27</v>
      </c>
      <c r="F28" s="19"/>
      <c r="G28" s="26"/>
      <c r="H28" s="26"/>
      <c r="I28" s="26"/>
      <c r="J28" s="26"/>
      <c r="K28" s="26"/>
      <c r="L28" s="26"/>
      <c r="M28" s="26"/>
      <c r="N28" s="26"/>
    </row>
    <row r="29" spans="1:14" ht="12.75" customHeight="1" x14ac:dyDescent="0.25">
      <c r="A29" s="13"/>
      <c r="B29" s="23" t="s">
        <v>28</v>
      </c>
      <c r="C29" s="143">
        <v>9575.8700000000008</v>
      </c>
      <c r="D29" s="143">
        <v>15271.02</v>
      </c>
      <c r="E29" s="420" t="s">
        <v>265</v>
      </c>
      <c r="F29" s="19"/>
      <c r="G29" s="26"/>
      <c r="H29" s="26"/>
      <c r="I29" s="26"/>
      <c r="J29" s="26"/>
      <c r="K29" s="26"/>
      <c r="L29" s="26"/>
      <c r="M29" s="26"/>
      <c r="N29" s="26"/>
    </row>
    <row r="30" spans="1:14" x14ac:dyDescent="0.25">
      <c r="A30" s="13"/>
      <c r="B30" s="23" t="s">
        <v>29</v>
      </c>
      <c r="C30" s="143">
        <v>354.15</v>
      </c>
      <c r="D30" s="143">
        <v>1441.38</v>
      </c>
      <c r="E30" s="421"/>
      <c r="F30" s="19"/>
      <c r="G30" s="26"/>
      <c r="H30" s="26"/>
      <c r="I30" s="26"/>
      <c r="J30" s="26"/>
      <c r="K30" s="26"/>
      <c r="L30" s="26"/>
      <c r="M30" s="26"/>
      <c r="N30" s="26"/>
    </row>
    <row r="31" spans="1:14" x14ac:dyDescent="0.25">
      <c r="A31" s="13"/>
      <c r="B31" s="23" t="s">
        <v>30</v>
      </c>
      <c r="C31" s="143">
        <v>2490</v>
      </c>
      <c r="D31" s="143">
        <v>2490</v>
      </c>
      <c r="E31" s="421"/>
      <c r="F31" s="19"/>
      <c r="G31" s="26"/>
      <c r="H31" s="26"/>
      <c r="I31" s="26"/>
      <c r="J31" s="26"/>
      <c r="K31" s="26"/>
      <c r="L31" s="26"/>
      <c r="M31" s="26"/>
      <c r="N31" s="26"/>
    </row>
    <row r="32" spans="1:14" x14ac:dyDescent="0.25">
      <c r="A32" s="13"/>
      <c r="B32" s="23" t="s">
        <v>31</v>
      </c>
      <c r="C32" s="143">
        <v>7123.91</v>
      </c>
      <c r="D32" s="143">
        <v>5987.44</v>
      </c>
      <c r="E32" s="422"/>
      <c r="F32" s="19"/>
      <c r="G32" s="26"/>
      <c r="H32" s="26"/>
      <c r="I32" s="26"/>
      <c r="J32" s="26"/>
      <c r="K32" s="26"/>
      <c r="L32" s="26"/>
      <c r="M32" s="26"/>
      <c r="N32" s="26"/>
    </row>
    <row r="33" spans="1:14" x14ac:dyDescent="0.25">
      <c r="A33" s="13"/>
      <c r="B33" s="353" t="s">
        <v>306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139"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ht="27" customHeight="1" x14ac:dyDescent="0.25">
      <c r="A42" s="13">
        <v>8</v>
      </c>
      <c r="B42" s="333" t="s">
        <v>749</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ht="35.25" customHeight="1" x14ac:dyDescent="0.25">
      <c r="A44" s="13"/>
      <c r="B44" s="21" t="s">
        <v>36</v>
      </c>
      <c r="C44" s="350" t="s">
        <v>802</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x14ac:dyDescent="0.25">
      <c r="A50" s="34"/>
      <c r="B50" s="391" t="s">
        <v>159</v>
      </c>
      <c r="C50" s="392"/>
      <c r="D50" s="392"/>
      <c r="E50" s="393"/>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159</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16</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s="76" customFormat="1" x14ac:dyDescent="0.2">
      <c r="A59" s="41" t="s">
        <v>57</v>
      </c>
      <c r="B59" s="384" t="s">
        <v>58</v>
      </c>
      <c r="C59" s="384"/>
      <c r="D59" s="384"/>
      <c r="E59" s="384"/>
    </row>
    <row r="60" spans="1:14" x14ac:dyDescent="0.25">
      <c r="A60" s="43"/>
      <c r="B60" s="44"/>
      <c r="C60" s="45"/>
      <c r="D60" s="46"/>
      <c r="E60" s="47"/>
      <c r="F60" s="40"/>
      <c r="G60" s="40"/>
      <c r="H60" s="40"/>
      <c r="I60" s="40"/>
      <c r="J60" s="40"/>
      <c r="K60" s="40"/>
      <c r="L60" s="40"/>
      <c r="M60" s="26"/>
      <c r="N60" s="26"/>
    </row>
    <row r="61" spans="1:14" x14ac:dyDescent="0.25">
      <c r="A61" s="48"/>
      <c r="B61" s="49"/>
      <c r="C61" s="50"/>
      <c r="D61" s="50"/>
      <c r="E61" s="50"/>
      <c r="F61" s="50"/>
      <c r="G61" s="12"/>
      <c r="H61" s="12"/>
      <c r="I61" s="12"/>
      <c r="J61" s="12"/>
      <c r="K61" s="12"/>
      <c r="L61" s="12"/>
      <c r="M61" s="26"/>
      <c r="N61" s="26"/>
    </row>
    <row r="62" spans="1:14" x14ac:dyDescent="0.25">
      <c r="A62" s="13">
        <v>11</v>
      </c>
      <c r="B62" s="5" t="s">
        <v>59</v>
      </c>
      <c r="C62" s="349" t="s">
        <v>60</v>
      </c>
      <c r="D62" s="349"/>
      <c r="E62" s="349"/>
      <c r="F62" s="15"/>
      <c r="G62" s="15"/>
      <c r="H62" s="51"/>
      <c r="I62" s="15"/>
      <c r="J62" s="15"/>
      <c r="K62" s="26"/>
      <c r="L62" s="12"/>
      <c r="M62" s="26"/>
      <c r="N62" s="26"/>
    </row>
    <row r="63" spans="1:14" x14ac:dyDescent="0.25">
      <c r="A63" s="13"/>
      <c r="B63" s="19"/>
      <c r="C63" s="19"/>
      <c r="D63" s="19"/>
      <c r="E63" s="19"/>
      <c r="F63" s="19"/>
      <c r="G63" s="19"/>
      <c r="H63" s="52"/>
      <c r="I63" s="52"/>
      <c r="J63" s="19"/>
      <c r="K63" s="26"/>
      <c r="L63" s="26"/>
      <c r="M63" s="26"/>
      <c r="N63" s="26"/>
    </row>
    <row r="64" spans="1:14" x14ac:dyDescent="0.25">
      <c r="A64" s="13">
        <v>12</v>
      </c>
      <c r="B64" s="15" t="s">
        <v>61</v>
      </c>
      <c r="C64" s="15"/>
      <c r="D64" s="15"/>
      <c r="E64" s="15"/>
      <c r="F64" s="15"/>
      <c r="G64" s="15"/>
      <c r="H64" s="15"/>
      <c r="I64" s="15"/>
      <c r="J64" s="15"/>
      <c r="K64" s="15"/>
      <c r="L64" s="15"/>
      <c r="M64" s="15"/>
      <c r="N64" s="15"/>
    </row>
    <row r="65" spans="1:14" x14ac:dyDescent="0.25">
      <c r="A65" s="13"/>
      <c r="B65" s="15"/>
      <c r="C65" s="15"/>
      <c r="D65" s="15"/>
      <c r="E65" s="15"/>
      <c r="F65" s="15"/>
      <c r="G65" s="15"/>
      <c r="H65" s="15"/>
      <c r="I65" s="15"/>
      <c r="J65" s="15"/>
      <c r="K65" s="15"/>
      <c r="L65" s="15"/>
      <c r="M65" s="15"/>
      <c r="N65" s="15"/>
    </row>
    <row r="66" spans="1:14" x14ac:dyDescent="0.25">
      <c r="A66" s="13"/>
      <c r="B66" s="21" t="s">
        <v>62</v>
      </c>
      <c r="C66" s="23" t="s">
        <v>383</v>
      </c>
      <c r="D66" s="19"/>
      <c r="E66" s="19"/>
      <c r="F66" s="52"/>
      <c r="G66" s="52"/>
      <c r="H66" s="19"/>
      <c r="I66" s="19"/>
      <c r="J66" s="19"/>
      <c r="K66" s="19"/>
      <c r="L66" s="19"/>
      <c r="M66" s="19"/>
      <c r="N66" s="19"/>
    </row>
    <row r="67" spans="1:14" x14ac:dyDescent="0.25">
      <c r="A67" s="13"/>
      <c r="B67" s="19"/>
      <c r="C67" s="19"/>
      <c r="D67" s="19"/>
      <c r="E67" s="19"/>
      <c r="F67" s="19"/>
      <c r="G67" s="19"/>
      <c r="H67" s="19"/>
      <c r="I67" s="19"/>
      <c r="J67" s="19"/>
      <c r="K67" s="19"/>
      <c r="L67" s="19"/>
      <c r="M67" s="19"/>
      <c r="N67" s="19"/>
    </row>
    <row r="68" spans="1:14" x14ac:dyDescent="0.25">
      <c r="A68" s="13"/>
      <c r="B68" s="333" t="s">
        <v>64</v>
      </c>
      <c r="C68" s="372" t="s">
        <v>384</v>
      </c>
      <c r="D68" s="372" t="s">
        <v>333</v>
      </c>
      <c r="E68" s="336" t="s">
        <v>385</v>
      </c>
      <c r="F68" s="327" t="s">
        <v>68</v>
      </c>
      <c r="G68" s="328"/>
      <c r="H68" s="329"/>
      <c r="I68" s="330" t="s">
        <v>69</v>
      </c>
      <c r="J68" s="330"/>
      <c r="K68" s="330"/>
      <c r="L68" s="330" t="s">
        <v>70</v>
      </c>
      <c r="M68" s="330"/>
      <c r="N68" s="330"/>
    </row>
    <row r="69" spans="1:14" ht="38.25" x14ac:dyDescent="0.25">
      <c r="A69" s="4"/>
      <c r="B69" s="333"/>
      <c r="C69" s="335"/>
      <c r="D69" s="335"/>
      <c r="E69" s="337"/>
      <c r="F69" s="21" t="s">
        <v>71</v>
      </c>
      <c r="G69" s="21" t="s">
        <v>72</v>
      </c>
      <c r="H69" s="21" t="s">
        <v>73</v>
      </c>
      <c r="I69" s="21" t="s">
        <v>74</v>
      </c>
      <c r="J69" s="21" t="s">
        <v>72</v>
      </c>
      <c r="K69" s="21" t="s">
        <v>73</v>
      </c>
      <c r="L69" s="21" t="s">
        <v>74</v>
      </c>
      <c r="M69" s="21" t="s">
        <v>72</v>
      </c>
      <c r="N69" s="21" t="s">
        <v>73</v>
      </c>
    </row>
    <row r="70" spans="1:14" x14ac:dyDescent="0.25">
      <c r="A70" s="4"/>
      <c r="B70" s="21" t="s">
        <v>165</v>
      </c>
      <c r="C70" s="53">
        <v>36</v>
      </c>
      <c r="D70" s="54">
        <v>35.25</v>
      </c>
      <c r="E70" s="54">
        <v>35</v>
      </c>
      <c r="F70" s="73">
        <v>32.5</v>
      </c>
      <c r="G70" s="53">
        <v>38.700000000000003</v>
      </c>
      <c r="H70" s="53">
        <v>31</v>
      </c>
      <c r="I70" s="53">
        <v>51.65</v>
      </c>
      <c r="J70" s="53">
        <v>64.099999999999994</v>
      </c>
      <c r="K70" s="53">
        <v>28</v>
      </c>
      <c r="L70" s="53" t="s">
        <v>125</v>
      </c>
      <c r="M70" s="53" t="s">
        <v>125</v>
      </c>
      <c r="N70" s="53" t="s">
        <v>125</v>
      </c>
    </row>
    <row r="71" spans="1:14" ht="25.5" x14ac:dyDescent="0.25">
      <c r="A71" s="4"/>
      <c r="B71" s="21" t="s">
        <v>166</v>
      </c>
      <c r="C71" s="53">
        <v>8896.7000000000007</v>
      </c>
      <c r="D71" s="53">
        <v>9143.7999999999993</v>
      </c>
      <c r="E71" s="53">
        <v>9595.1</v>
      </c>
      <c r="F71" s="54">
        <v>10113.700000000001</v>
      </c>
      <c r="G71" s="54">
        <v>11171.55</v>
      </c>
      <c r="H71" s="53">
        <v>9075.15</v>
      </c>
      <c r="I71" s="53">
        <v>11623.9</v>
      </c>
      <c r="J71" s="53">
        <v>11760.2</v>
      </c>
      <c r="K71" s="53">
        <v>10004.549999999999</v>
      </c>
      <c r="L71" s="53" t="s">
        <v>125</v>
      </c>
      <c r="M71" s="53" t="s">
        <v>125</v>
      </c>
      <c r="N71" s="53" t="s">
        <v>125</v>
      </c>
    </row>
    <row r="72" spans="1:14" ht="13.5" x14ac:dyDescent="0.25">
      <c r="A72" s="4"/>
      <c r="B72" s="383" t="s">
        <v>156</v>
      </c>
      <c r="C72" s="383"/>
      <c r="D72" s="383"/>
      <c r="E72" s="383"/>
      <c r="F72" s="383"/>
      <c r="G72" s="383"/>
      <c r="H72" s="383"/>
      <c r="I72" s="383"/>
      <c r="J72" s="383"/>
      <c r="K72" s="383"/>
      <c r="L72" s="383"/>
      <c r="M72" s="383"/>
      <c r="N72" s="383"/>
    </row>
    <row r="73" spans="1:14" x14ac:dyDescent="0.25">
      <c r="A73" s="4"/>
      <c r="B73" s="382" t="s">
        <v>79</v>
      </c>
      <c r="C73" s="382"/>
      <c r="D73" s="382"/>
      <c r="E73" s="382"/>
      <c r="F73" s="382"/>
      <c r="G73" s="382"/>
      <c r="H73" s="382"/>
      <c r="I73" s="382"/>
      <c r="J73" s="382"/>
      <c r="K73" s="382"/>
      <c r="L73" s="382"/>
      <c r="M73" s="382"/>
      <c r="N73" s="382"/>
    </row>
    <row r="74" spans="1:14" s="57" customFormat="1" x14ac:dyDescent="0.25">
      <c r="B74" s="382" t="s">
        <v>80</v>
      </c>
      <c r="C74" s="382"/>
      <c r="D74" s="382"/>
      <c r="E74" s="382"/>
      <c r="F74" s="382"/>
      <c r="G74" s="382"/>
      <c r="H74" s="382"/>
      <c r="I74" s="382"/>
      <c r="J74" s="382"/>
      <c r="K74" s="382"/>
      <c r="L74" s="382"/>
      <c r="M74" s="382"/>
      <c r="N74" s="382"/>
    </row>
    <row r="75" spans="1:14" x14ac:dyDescent="0.25">
      <c r="A75" s="4"/>
      <c r="B75" s="382" t="s">
        <v>117</v>
      </c>
      <c r="C75" s="382"/>
      <c r="D75" s="382"/>
      <c r="E75" s="382"/>
      <c r="F75" s="382"/>
      <c r="G75" s="382"/>
      <c r="H75" s="382"/>
      <c r="I75" s="382"/>
      <c r="J75" s="382"/>
      <c r="K75" s="382"/>
      <c r="L75" s="382"/>
      <c r="M75" s="382"/>
      <c r="N75" s="382"/>
    </row>
    <row r="76" spans="1:14" x14ac:dyDescent="0.25">
      <c r="A76" s="4"/>
      <c r="B76" s="382" t="s">
        <v>82</v>
      </c>
      <c r="C76" s="382"/>
      <c r="D76" s="382"/>
      <c r="E76" s="382"/>
      <c r="F76" s="382"/>
      <c r="G76" s="382"/>
      <c r="H76" s="382"/>
      <c r="I76" s="382"/>
      <c r="J76" s="382"/>
      <c r="K76" s="382"/>
      <c r="L76" s="382"/>
      <c r="M76" s="382"/>
      <c r="N76" s="382"/>
    </row>
    <row r="77" spans="1:14" x14ac:dyDescent="0.25">
      <c r="A77" s="4"/>
      <c r="B77" s="58"/>
      <c r="C77" s="58"/>
      <c r="D77" s="58"/>
      <c r="E77" s="58"/>
      <c r="F77" s="58"/>
      <c r="G77" s="17"/>
      <c r="H77" s="17"/>
      <c r="I77" s="17"/>
      <c r="J77" s="17"/>
      <c r="K77" s="17"/>
      <c r="L77" s="17"/>
      <c r="M77" s="17"/>
      <c r="N77" s="17"/>
    </row>
    <row r="78" spans="1:14" x14ac:dyDescent="0.25">
      <c r="A78" s="13">
        <v>13</v>
      </c>
      <c r="B78" s="338" t="s">
        <v>83</v>
      </c>
      <c r="C78" s="339"/>
      <c r="D78" s="339"/>
      <c r="E78" s="339"/>
      <c r="F78" s="339"/>
      <c r="G78" s="340"/>
      <c r="H78" s="15"/>
      <c r="I78" s="15"/>
      <c r="J78" s="15"/>
      <c r="K78" s="15"/>
      <c r="L78" s="15"/>
      <c r="M78" s="15"/>
      <c r="N78" s="15"/>
    </row>
    <row r="79" spans="1:14" x14ac:dyDescent="0.25">
      <c r="A79" s="13"/>
      <c r="B79" s="26"/>
      <c r="C79" s="19"/>
      <c r="D79" s="19"/>
      <c r="E79" s="19"/>
      <c r="F79" s="19"/>
      <c r="G79" s="19"/>
      <c r="H79" s="19"/>
      <c r="I79" s="19"/>
      <c r="J79" s="19"/>
      <c r="K79" s="19"/>
      <c r="L79" s="19"/>
      <c r="M79" s="19"/>
      <c r="N79" s="19"/>
    </row>
    <row r="80" spans="1:14" ht="102" x14ac:dyDescent="0.25">
      <c r="A80" s="4"/>
      <c r="B80" s="59" t="s">
        <v>84</v>
      </c>
      <c r="C80" s="22" t="s">
        <v>85</v>
      </c>
      <c r="D80" s="22" t="s">
        <v>86</v>
      </c>
      <c r="E80" s="22" t="s">
        <v>386</v>
      </c>
      <c r="F80" s="171" t="s">
        <v>803</v>
      </c>
      <c r="G80" s="22" t="s">
        <v>169</v>
      </c>
      <c r="H80" s="17"/>
      <c r="I80" s="17"/>
      <c r="J80" s="17"/>
      <c r="K80" s="17"/>
      <c r="L80" s="17"/>
      <c r="M80" s="17"/>
      <c r="N80" s="17"/>
    </row>
    <row r="81" spans="1:14" ht="12.75" customHeight="1" x14ac:dyDescent="0.2">
      <c r="A81" s="4"/>
      <c r="B81" s="316" t="s">
        <v>90</v>
      </c>
      <c r="C81" s="5" t="s">
        <v>387</v>
      </c>
      <c r="D81" s="91">
        <v>1.5</v>
      </c>
      <c r="E81" s="91">
        <v>1.42</v>
      </c>
      <c r="F81" s="170">
        <v>5.79</v>
      </c>
      <c r="G81" s="412" t="s">
        <v>282</v>
      </c>
      <c r="H81" s="62"/>
      <c r="I81" s="62"/>
      <c r="J81" s="62"/>
      <c r="K81" s="62"/>
      <c r="L81" s="62"/>
      <c r="M81" s="62"/>
      <c r="N81" s="62"/>
    </row>
    <row r="82" spans="1:14" x14ac:dyDescent="0.25">
      <c r="A82" s="4"/>
      <c r="B82" s="316"/>
      <c r="C82" s="5" t="s">
        <v>171</v>
      </c>
      <c r="D82" s="92" t="s">
        <v>126</v>
      </c>
      <c r="E82" s="92"/>
      <c r="F82" s="170"/>
      <c r="G82" s="413"/>
      <c r="H82" s="62"/>
      <c r="I82" s="62"/>
      <c r="J82" s="62"/>
      <c r="K82" s="62"/>
      <c r="L82" s="62"/>
      <c r="M82" s="62"/>
      <c r="N82" s="62"/>
    </row>
    <row r="83" spans="1:14" x14ac:dyDescent="0.25">
      <c r="A83" s="4"/>
      <c r="B83" s="316"/>
      <c r="C83" s="25" t="s">
        <v>297</v>
      </c>
      <c r="D83" s="63">
        <v>3.6</v>
      </c>
      <c r="E83" s="63">
        <v>3.06</v>
      </c>
      <c r="F83" s="170">
        <v>10.91</v>
      </c>
      <c r="G83" s="413"/>
      <c r="H83" s="62"/>
      <c r="I83" s="62"/>
      <c r="J83" s="62"/>
      <c r="K83" s="62"/>
      <c r="L83" s="62"/>
      <c r="M83" s="62"/>
      <c r="N83" s="62"/>
    </row>
    <row r="84" spans="1:14" x14ac:dyDescent="0.25">
      <c r="A84" s="4"/>
      <c r="B84" s="316"/>
      <c r="C84" s="25" t="s">
        <v>389</v>
      </c>
      <c r="D84" s="92">
        <v>6.92</v>
      </c>
      <c r="E84" s="92">
        <v>-1.96</v>
      </c>
      <c r="F84" s="170">
        <v>11.46</v>
      </c>
      <c r="G84" s="413"/>
      <c r="H84" s="62"/>
      <c r="I84" s="62"/>
      <c r="J84" s="62"/>
      <c r="K84" s="62"/>
      <c r="L84" s="62"/>
      <c r="M84" s="62"/>
      <c r="N84" s="62"/>
    </row>
    <row r="85" spans="1:14" x14ac:dyDescent="0.25">
      <c r="A85" s="4"/>
      <c r="B85" s="316"/>
      <c r="C85" s="25" t="s">
        <v>390</v>
      </c>
      <c r="D85" s="92">
        <v>14.59</v>
      </c>
      <c r="E85" s="92">
        <v>22.57</v>
      </c>
      <c r="F85" s="170">
        <v>24.41</v>
      </c>
      <c r="G85" s="413"/>
      <c r="H85" s="62"/>
      <c r="I85" s="62"/>
      <c r="J85" s="62"/>
      <c r="K85" s="62"/>
      <c r="L85" s="62"/>
      <c r="M85" s="62"/>
      <c r="N85" s="62"/>
    </row>
    <row r="86" spans="1:14" x14ac:dyDescent="0.25">
      <c r="A86" s="4"/>
      <c r="B86" s="316"/>
      <c r="C86" s="5" t="s">
        <v>93</v>
      </c>
      <c r="D86" s="164">
        <f>SUM(D83:D85)/3</f>
        <v>8.3699999999999992</v>
      </c>
      <c r="E86" s="164">
        <f>SUM(E83:E85)/3</f>
        <v>7.8900000000000006</v>
      </c>
      <c r="F86" s="164">
        <f>SUM(F83:F85)/3</f>
        <v>15.593333333333334</v>
      </c>
      <c r="G86" s="413"/>
      <c r="H86" s="62"/>
      <c r="I86" s="62"/>
      <c r="J86" s="62"/>
      <c r="K86" s="62"/>
      <c r="L86" s="62"/>
      <c r="M86" s="62"/>
      <c r="N86" s="62"/>
    </row>
    <row r="87" spans="1:14" x14ac:dyDescent="0.2">
      <c r="A87" s="4"/>
      <c r="B87" s="316" t="s">
        <v>94</v>
      </c>
      <c r="C87" s="5" t="s">
        <v>391</v>
      </c>
      <c r="D87" s="93">
        <v>19.98</v>
      </c>
      <c r="E87" s="93">
        <f>F70/E81</f>
        <v>22.887323943661972</v>
      </c>
      <c r="F87" s="172">
        <f>I70/F81</f>
        <v>8.9205526770293613</v>
      </c>
      <c r="G87" s="413"/>
      <c r="H87" s="62"/>
      <c r="I87" s="62"/>
      <c r="J87" s="62"/>
      <c r="K87" s="62"/>
      <c r="L87" s="62"/>
      <c r="M87" s="62"/>
      <c r="N87" s="62"/>
    </row>
    <row r="88" spans="1:14" x14ac:dyDescent="0.2">
      <c r="A88" s="4"/>
      <c r="B88" s="316"/>
      <c r="C88" s="5" t="s">
        <v>171</v>
      </c>
      <c r="D88" s="107" t="s">
        <v>126</v>
      </c>
      <c r="E88" s="107"/>
      <c r="F88" s="170"/>
      <c r="G88" s="413"/>
      <c r="H88" s="62"/>
      <c r="I88" s="62"/>
      <c r="J88" s="62"/>
      <c r="K88" s="62"/>
      <c r="L88" s="62"/>
      <c r="M88" s="62"/>
      <c r="N88" s="62"/>
    </row>
    <row r="89" spans="1:14" x14ac:dyDescent="0.2">
      <c r="A89" s="4"/>
      <c r="B89" s="316"/>
      <c r="C89" s="25" t="s">
        <v>297</v>
      </c>
      <c r="D89" s="107">
        <v>23.99</v>
      </c>
      <c r="E89" s="107">
        <f>78.4/E83</f>
        <v>25.62091503267974</v>
      </c>
      <c r="F89" s="172">
        <f>85/F83</f>
        <v>7.791017415215399</v>
      </c>
      <c r="G89" s="413"/>
      <c r="H89" s="62"/>
      <c r="I89" s="62"/>
      <c r="J89" s="62"/>
      <c r="K89" s="62"/>
      <c r="L89" s="62"/>
      <c r="M89" s="62"/>
      <c r="N89" s="62"/>
    </row>
    <row r="90" spans="1:14" x14ac:dyDescent="0.2">
      <c r="A90" s="4"/>
      <c r="B90" s="316"/>
      <c r="C90" s="25" t="s">
        <v>389</v>
      </c>
      <c r="D90" s="93">
        <v>24.36</v>
      </c>
      <c r="E90" s="93">
        <f>176.25/E84</f>
        <v>-89.923469387755105</v>
      </c>
      <c r="F90" s="172">
        <f>86.75/F84</f>
        <v>7.5698080279232105</v>
      </c>
      <c r="G90" s="413"/>
      <c r="H90" s="62"/>
      <c r="I90" s="62"/>
      <c r="J90" s="62"/>
      <c r="K90" s="62"/>
      <c r="L90" s="62"/>
      <c r="M90" s="62"/>
      <c r="N90" s="62"/>
    </row>
    <row r="91" spans="1:14" x14ac:dyDescent="0.2">
      <c r="A91" s="4"/>
      <c r="B91" s="316"/>
      <c r="C91" s="25" t="s">
        <v>390</v>
      </c>
      <c r="D91" s="107">
        <v>22.68</v>
      </c>
      <c r="E91" s="107">
        <f>523.8/E85</f>
        <v>23.207797961896322</v>
      </c>
      <c r="F91" s="172">
        <f>499.3/F85</f>
        <v>20.454731667349446</v>
      </c>
      <c r="G91" s="413"/>
      <c r="H91" s="62"/>
      <c r="I91" s="62"/>
      <c r="J91" s="62"/>
      <c r="K91" s="62"/>
      <c r="L91" s="62"/>
      <c r="M91" s="62"/>
      <c r="N91" s="62"/>
    </row>
    <row r="92" spans="1:14" x14ac:dyDescent="0.25">
      <c r="A92" s="4"/>
      <c r="B92" s="316"/>
      <c r="C92" s="5" t="s">
        <v>93</v>
      </c>
      <c r="D92" s="164">
        <f>SUM(D89:D91)/3</f>
        <v>23.676666666666666</v>
      </c>
      <c r="E92" s="164">
        <f>SUM(E89:E91)/3</f>
        <v>-13.698252131059681</v>
      </c>
      <c r="F92" s="164">
        <f>SUM(F89:F91)/3</f>
        <v>11.938519036829353</v>
      </c>
      <c r="G92" s="413"/>
      <c r="H92" s="62"/>
      <c r="I92" s="62"/>
      <c r="J92" s="62"/>
      <c r="K92" s="62"/>
      <c r="L92" s="62"/>
      <c r="M92" s="62"/>
      <c r="N92" s="62"/>
    </row>
    <row r="93" spans="1:14" x14ac:dyDescent="0.2">
      <c r="A93" s="4"/>
      <c r="B93" s="316" t="s">
        <v>95</v>
      </c>
      <c r="C93" s="5" t="s">
        <v>391</v>
      </c>
      <c r="D93" s="91">
        <v>7.06</v>
      </c>
      <c r="E93" s="93">
        <f>354.15/9613.91*100</f>
        <v>3.6837249360561937</v>
      </c>
      <c r="F93" s="172">
        <f>1441.38/10930.79*100</f>
        <v>13.186421109544691</v>
      </c>
      <c r="G93" s="413"/>
      <c r="H93" s="62"/>
      <c r="I93" s="62"/>
      <c r="J93" s="62"/>
      <c r="K93" s="62"/>
      <c r="L93" s="62"/>
      <c r="M93" s="62"/>
      <c r="N93" s="62"/>
    </row>
    <row r="94" spans="1:14" x14ac:dyDescent="0.25">
      <c r="A94" s="4"/>
      <c r="B94" s="316"/>
      <c r="C94" s="5" t="s">
        <v>171</v>
      </c>
      <c r="D94" s="92" t="s">
        <v>126</v>
      </c>
      <c r="E94" s="92"/>
      <c r="F94" s="170"/>
      <c r="G94" s="413"/>
      <c r="H94" s="62"/>
      <c r="I94" s="62"/>
      <c r="J94" s="62"/>
      <c r="K94" s="62"/>
      <c r="L94" s="62"/>
      <c r="M94" s="62"/>
      <c r="N94" s="62"/>
    </row>
    <row r="95" spans="1:14" x14ac:dyDescent="0.25">
      <c r="A95" s="4"/>
      <c r="B95" s="316"/>
      <c r="C95" s="25" t="s">
        <v>297</v>
      </c>
      <c r="D95" s="92">
        <v>6.79</v>
      </c>
      <c r="E95" s="109">
        <f>539.16/13414.6</f>
        <v>4.0192029579711651E-2</v>
      </c>
      <c r="F95" s="172">
        <f>1938.99/15126.83*100</f>
        <v>12.818217696635713</v>
      </c>
      <c r="G95" s="413"/>
      <c r="H95" s="62"/>
      <c r="I95" s="62"/>
      <c r="J95" s="62"/>
      <c r="K95" s="62"/>
      <c r="L95" s="62"/>
      <c r="M95" s="62"/>
      <c r="N95" s="62"/>
    </row>
    <row r="96" spans="1:14" x14ac:dyDescent="0.25">
      <c r="A96" s="4"/>
      <c r="B96" s="316"/>
      <c r="C96" s="25" t="s">
        <v>389</v>
      </c>
      <c r="D96" s="92">
        <v>4.49</v>
      </c>
      <c r="E96" s="92">
        <f>-402.92/18290.58</f>
        <v>-2.2028825767143524E-2</v>
      </c>
      <c r="F96" s="172">
        <f>1489.8/15679.8*100</f>
        <v>9.5013967014885381</v>
      </c>
      <c r="G96" s="413"/>
      <c r="H96" s="62"/>
      <c r="I96" s="62"/>
      <c r="J96" s="62"/>
      <c r="K96" s="62"/>
      <c r="L96" s="62"/>
      <c r="M96" s="62"/>
      <c r="N96" s="62"/>
    </row>
    <row r="97" spans="1:14" x14ac:dyDescent="0.25">
      <c r="A97" s="4"/>
      <c r="B97" s="316"/>
      <c r="C97" s="25" t="s">
        <v>390</v>
      </c>
      <c r="D97" s="92">
        <v>15.6</v>
      </c>
      <c r="E97" s="110">
        <f>659.41/3171.76</f>
        <v>0.20790034554947409</v>
      </c>
      <c r="F97" s="172">
        <f>713.91/3433.93*100</f>
        <v>20.789882146694893</v>
      </c>
      <c r="G97" s="413"/>
      <c r="H97" s="62"/>
      <c r="I97" s="62"/>
      <c r="J97" s="62"/>
      <c r="K97" s="62"/>
      <c r="L97" s="62"/>
      <c r="M97" s="62"/>
      <c r="N97" s="62"/>
    </row>
    <row r="98" spans="1:14" x14ac:dyDescent="0.25">
      <c r="A98" s="4"/>
      <c r="B98" s="316"/>
      <c r="C98" s="5" t="s">
        <v>93</v>
      </c>
      <c r="D98" s="164">
        <f>SUM(D95:D97)/3</f>
        <v>8.9600000000000009</v>
      </c>
      <c r="E98" s="164">
        <f>SUM(E95:E97)/3</f>
        <v>7.5354516454014073E-2</v>
      </c>
      <c r="F98" s="164">
        <f>SUM(F95:F97)/3</f>
        <v>14.369832181606382</v>
      </c>
      <c r="G98" s="413"/>
      <c r="H98" s="62"/>
      <c r="I98" s="62"/>
      <c r="J98" s="62"/>
      <c r="K98" s="62"/>
      <c r="L98" s="62"/>
      <c r="M98" s="62"/>
      <c r="N98" s="62"/>
    </row>
    <row r="99" spans="1:14" x14ac:dyDescent="0.2">
      <c r="A99" s="4"/>
      <c r="B99" s="316" t="s">
        <v>96</v>
      </c>
      <c r="C99" s="5" t="s">
        <v>391</v>
      </c>
      <c r="D99" s="91">
        <v>21.25</v>
      </c>
      <c r="E99" s="93">
        <f>9613.91*100000/24900000</f>
        <v>38.610080321285139</v>
      </c>
      <c r="F99" s="172">
        <f>10930.79*100000/24900000</f>
        <v>43.898755020080323</v>
      </c>
      <c r="G99" s="413"/>
      <c r="H99" s="62"/>
      <c r="I99" s="62"/>
      <c r="J99" s="62"/>
      <c r="K99" s="62"/>
      <c r="L99" s="62"/>
      <c r="M99" s="62"/>
      <c r="N99" s="62"/>
    </row>
    <row r="100" spans="1:14" x14ac:dyDescent="0.25">
      <c r="A100" s="4"/>
      <c r="B100" s="316"/>
      <c r="C100" s="5" t="s">
        <v>171</v>
      </c>
      <c r="D100" s="92" t="s">
        <v>126</v>
      </c>
      <c r="E100" s="92"/>
      <c r="F100" s="170"/>
      <c r="G100" s="413"/>
      <c r="H100" s="62"/>
      <c r="I100" s="62"/>
      <c r="J100" s="62"/>
      <c r="K100" s="62"/>
      <c r="L100" s="62"/>
      <c r="M100" s="62"/>
      <c r="N100" s="62"/>
    </row>
    <row r="101" spans="1:14" x14ac:dyDescent="0.25">
      <c r="A101" s="4"/>
      <c r="B101" s="386"/>
      <c r="C101" s="25" t="s">
        <v>297</v>
      </c>
      <c r="D101" s="92">
        <v>70.86</v>
      </c>
      <c r="E101" s="92">
        <f>13414.6/176.74</f>
        <v>75.900192372977259</v>
      </c>
      <c r="F101" s="172">
        <f>15126.83*100000/17674300</f>
        <v>85.586586173144056</v>
      </c>
      <c r="G101" s="413"/>
      <c r="H101" s="62"/>
      <c r="I101" s="62"/>
      <c r="J101" s="62"/>
      <c r="K101" s="66"/>
      <c r="L101" s="62"/>
      <c r="M101" s="62"/>
      <c r="N101" s="62"/>
    </row>
    <row r="102" spans="1:14" x14ac:dyDescent="0.25">
      <c r="A102" s="4"/>
      <c r="B102" s="386"/>
      <c r="C102" s="25" t="s">
        <v>389</v>
      </c>
      <c r="D102" s="92">
        <v>149.97999999999999</v>
      </c>
      <c r="E102" s="92">
        <f>18290.58/130.04</f>
        <v>140.65349123346664</v>
      </c>
      <c r="F102" s="172">
        <f>15679.8*100000/13004300</f>
        <v>120.57396399652423</v>
      </c>
      <c r="G102" s="413"/>
      <c r="H102" s="62"/>
      <c r="I102" s="62"/>
      <c r="J102" s="62"/>
      <c r="K102" s="62"/>
      <c r="L102" s="62"/>
      <c r="M102" s="62"/>
      <c r="N102" s="62"/>
    </row>
    <row r="103" spans="1:14" x14ac:dyDescent="0.25">
      <c r="A103" s="4"/>
      <c r="B103" s="386"/>
      <c r="C103" s="25" t="s">
        <v>390</v>
      </c>
      <c r="D103" s="92">
        <v>96.85</v>
      </c>
      <c r="E103" s="92">
        <f>3171.76/29.24</f>
        <v>108.4733242134063</v>
      </c>
      <c r="F103" s="172">
        <f>3433.93*1000000/29250000</f>
        <v>117.39931623931624</v>
      </c>
      <c r="G103" s="413"/>
      <c r="H103" s="62"/>
      <c r="I103" s="62"/>
      <c r="J103" s="62"/>
      <c r="K103" s="62"/>
      <c r="L103" s="62"/>
      <c r="M103" s="62"/>
      <c r="N103" s="62"/>
    </row>
    <row r="104" spans="1:14" x14ac:dyDescent="0.25">
      <c r="A104" s="4"/>
      <c r="B104" s="386"/>
      <c r="C104" s="5" t="s">
        <v>93</v>
      </c>
      <c r="D104" s="164">
        <f>SUM(D101:D103)/3</f>
        <v>105.89666666666665</v>
      </c>
      <c r="E104" s="164">
        <f>SUM(E101:E103)/3</f>
        <v>108.34233593995005</v>
      </c>
      <c r="F104" s="164">
        <f>SUM(F101:F103)/3</f>
        <v>107.85328880299484</v>
      </c>
      <c r="G104" s="413"/>
      <c r="H104" s="62"/>
      <c r="I104" s="62"/>
      <c r="J104" s="62"/>
      <c r="K104" s="62"/>
      <c r="L104" s="62"/>
      <c r="M104" s="62"/>
      <c r="N104" s="62"/>
    </row>
    <row r="105" spans="1:14" x14ac:dyDescent="0.25">
      <c r="A105" s="4"/>
      <c r="B105" s="387" t="s">
        <v>172</v>
      </c>
      <c r="C105" s="388"/>
      <c r="D105" s="388"/>
      <c r="E105" s="388"/>
      <c r="F105" s="388"/>
      <c r="G105" s="389"/>
      <c r="H105" s="62"/>
      <c r="I105" s="62"/>
      <c r="J105" s="62"/>
      <c r="K105" s="62"/>
      <c r="L105" s="62"/>
      <c r="M105" s="62"/>
      <c r="N105" s="62"/>
    </row>
    <row r="106" spans="1:14" x14ac:dyDescent="0.25">
      <c r="A106" s="4"/>
      <c r="B106" s="376" t="s">
        <v>392</v>
      </c>
      <c r="C106" s="377"/>
      <c r="D106" s="377"/>
      <c r="E106" s="377"/>
      <c r="F106" s="377"/>
      <c r="G106" s="378"/>
      <c r="H106" s="62"/>
      <c r="I106" s="62"/>
      <c r="J106" s="62"/>
      <c r="K106" s="62"/>
      <c r="L106" s="62"/>
      <c r="M106" s="62"/>
      <c r="N106" s="62"/>
    </row>
    <row r="107" spans="1:14" x14ac:dyDescent="0.25">
      <c r="A107" s="4"/>
      <c r="B107" s="379" t="s">
        <v>128</v>
      </c>
      <c r="C107" s="380"/>
      <c r="D107" s="380"/>
      <c r="E107" s="380"/>
      <c r="F107" s="380"/>
      <c r="G107" s="381"/>
      <c r="H107" s="62"/>
      <c r="I107" s="62"/>
      <c r="J107" s="62"/>
      <c r="K107" s="62"/>
      <c r="L107" s="62"/>
      <c r="M107" s="62"/>
      <c r="N107" s="62"/>
    </row>
    <row r="108" spans="1:14" x14ac:dyDescent="0.25">
      <c r="A108" s="4"/>
      <c r="B108" s="353" t="s">
        <v>366</v>
      </c>
      <c r="C108" s="354"/>
      <c r="D108" s="354"/>
      <c r="E108" s="354"/>
      <c r="F108" s="354"/>
      <c r="G108" s="355"/>
      <c r="H108" s="62"/>
      <c r="I108" s="62"/>
      <c r="J108" s="62"/>
      <c r="K108" s="62"/>
      <c r="L108" s="62"/>
      <c r="M108" s="62"/>
      <c r="N108" s="62"/>
    </row>
    <row r="109" spans="1:14" x14ac:dyDescent="0.25">
      <c r="A109" s="26"/>
      <c r="B109" s="12"/>
      <c r="C109" s="323"/>
      <c r="D109" s="323"/>
      <c r="E109" s="323"/>
      <c r="F109" s="323"/>
      <c r="G109" s="323"/>
      <c r="H109" s="62"/>
      <c r="I109" s="62"/>
      <c r="J109" s="26"/>
      <c r="K109" s="26"/>
      <c r="L109" s="26"/>
      <c r="M109" s="26"/>
      <c r="N109" s="26"/>
    </row>
    <row r="110" spans="1:14" x14ac:dyDescent="0.25">
      <c r="A110" s="13">
        <v>14</v>
      </c>
      <c r="B110" s="70" t="s">
        <v>99</v>
      </c>
      <c r="C110" s="324" t="s">
        <v>48</v>
      </c>
      <c r="D110" s="325"/>
      <c r="E110" s="325"/>
      <c r="F110" s="325"/>
      <c r="G110" s="326"/>
      <c r="H110" s="26"/>
      <c r="I110" s="26"/>
      <c r="J110" s="26"/>
      <c r="K110" s="26"/>
      <c r="L110" s="26"/>
      <c r="M110" s="26"/>
      <c r="N110" s="26"/>
    </row>
    <row r="111" spans="1:14" x14ac:dyDescent="0.25">
      <c r="A111" s="71"/>
      <c r="B111" s="26"/>
      <c r="C111" s="84"/>
      <c r="D111" s="84"/>
      <c r="E111" s="84"/>
      <c r="F111" s="84"/>
      <c r="G111" s="84"/>
      <c r="H111" s="26"/>
      <c r="I111" s="26"/>
      <c r="J111" s="26"/>
      <c r="K111" s="26"/>
      <c r="L111" s="26"/>
      <c r="M111" s="26"/>
      <c r="N111" s="26"/>
    </row>
    <row r="112" spans="1:14" x14ac:dyDescent="0.25">
      <c r="A112" s="26"/>
      <c r="B112" s="374" t="s">
        <v>393</v>
      </c>
      <c r="C112" s="375"/>
      <c r="D112" s="375"/>
      <c r="E112" s="375"/>
      <c r="F112" s="375"/>
      <c r="G112" s="375"/>
      <c r="H112" s="375"/>
      <c r="I112" s="26"/>
      <c r="J112" s="26"/>
      <c r="K112" s="26"/>
      <c r="L112" s="26"/>
      <c r="M112" s="26"/>
      <c r="N112" s="26"/>
    </row>
    <row r="113" spans="1:14" x14ac:dyDescent="0.25">
      <c r="A113" s="26"/>
      <c r="I113" s="26"/>
      <c r="J113" s="26"/>
      <c r="K113" s="26"/>
      <c r="L113" s="26"/>
      <c r="M113" s="26"/>
      <c r="N113" s="26"/>
    </row>
    <row r="114" spans="1:14" x14ac:dyDescent="0.25">
      <c r="A114" s="26"/>
      <c r="J114" s="26"/>
      <c r="K114" s="26"/>
      <c r="L114" s="26"/>
      <c r="M114" s="26"/>
      <c r="N114" s="26"/>
    </row>
  </sheetData>
  <sheetProtection password="E9DF" sheet="1" objects="1" scenarios="1"/>
  <mergeCells count="61">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E29:E32"/>
    <mergeCell ref="B33:E33"/>
    <mergeCell ref="B35:E35"/>
    <mergeCell ref="B39:C39"/>
    <mergeCell ref="B42:E42"/>
    <mergeCell ref="C43:E43"/>
    <mergeCell ref="B59:E59"/>
    <mergeCell ref="C45:E45"/>
    <mergeCell ref="B46:E46"/>
    <mergeCell ref="B48:E48"/>
    <mergeCell ref="B50:E50"/>
    <mergeCell ref="B51:E51"/>
    <mergeCell ref="B52:E52"/>
    <mergeCell ref="B54:E54"/>
    <mergeCell ref="B55:B56"/>
    <mergeCell ref="C55:E56"/>
    <mergeCell ref="C57:E57"/>
    <mergeCell ref="C58:E58"/>
    <mergeCell ref="B75:N75"/>
    <mergeCell ref="C62:E62"/>
    <mergeCell ref="B68:B69"/>
    <mergeCell ref="C68:C69"/>
    <mergeCell ref="D68:D69"/>
    <mergeCell ref="E68:E69"/>
    <mergeCell ref="F68:H68"/>
    <mergeCell ref="I68:K68"/>
    <mergeCell ref="L68:N68"/>
    <mergeCell ref="B72:N72"/>
    <mergeCell ref="B73:N73"/>
    <mergeCell ref="B74:N74"/>
    <mergeCell ref="B76:N76"/>
    <mergeCell ref="B78:G78"/>
    <mergeCell ref="B81:B86"/>
    <mergeCell ref="G81:G104"/>
    <mergeCell ref="B87:B92"/>
    <mergeCell ref="B93:B98"/>
    <mergeCell ref="B99:B104"/>
    <mergeCell ref="B112:H112"/>
    <mergeCell ref="B105:G105"/>
    <mergeCell ref="B106:G106"/>
    <mergeCell ref="B107:G107"/>
    <mergeCell ref="B108:G108"/>
    <mergeCell ref="C109:G109"/>
    <mergeCell ref="C110:G110"/>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opLeftCell="A31" workbookViewId="0">
      <selection activeCell="B51" sqref="B51:E51"/>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394</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259</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395</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396</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30.75" customHeight="1"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397</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22" t="s">
        <v>398</v>
      </c>
      <c r="E28" s="22" t="s">
        <v>27</v>
      </c>
      <c r="F28" s="19"/>
      <c r="G28" s="26"/>
      <c r="H28" s="26"/>
      <c r="I28" s="26"/>
      <c r="J28" s="26"/>
      <c r="K28" s="26"/>
      <c r="L28" s="26"/>
      <c r="M28" s="26"/>
      <c r="N28" s="26"/>
    </row>
    <row r="29" spans="1:14" ht="12.75" customHeight="1" x14ac:dyDescent="0.25">
      <c r="A29" s="13"/>
      <c r="B29" s="23" t="s">
        <v>28</v>
      </c>
      <c r="C29" s="24">
        <v>5589.68</v>
      </c>
      <c r="D29" s="24">
        <v>8412.58</v>
      </c>
      <c r="E29" s="174">
        <v>13175.1</v>
      </c>
      <c r="F29" s="19"/>
      <c r="G29" s="26"/>
      <c r="H29" s="26"/>
      <c r="I29" s="26"/>
      <c r="J29" s="26"/>
      <c r="K29" s="26"/>
      <c r="L29" s="26"/>
      <c r="M29" s="26"/>
      <c r="N29" s="26"/>
    </row>
    <row r="30" spans="1:14" x14ac:dyDescent="0.25">
      <c r="A30" s="13"/>
      <c r="B30" s="23" t="s">
        <v>29</v>
      </c>
      <c r="C30" s="24">
        <v>153.16</v>
      </c>
      <c r="D30" s="24">
        <v>252.22</v>
      </c>
      <c r="E30" s="174">
        <v>380.05</v>
      </c>
      <c r="F30" s="19"/>
      <c r="G30" s="26"/>
      <c r="H30" s="26"/>
      <c r="I30" s="26"/>
      <c r="J30" s="26"/>
      <c r="K30" s="26"/>
      <c r="L30" s="26"/>
      <c r="M30" s="26"/>
      <c r="N30" s="26"/>
    </row>
    <row r="31" spans="1:14" x14ac:dyDescent="0.25">
      <c r="A31" s="13"/>
      <c r="B31" s="23" t="s">
        <v>30</v>
      </c>
      <c r="C31" s="24">
        <v>509.22</v>
      </c>
      <c r="D31" s="24">
        <v>609.22</v>
      </c>
      <c r="E31" s="174">
        <v>609.22</v>
      </c>
      <c r="F31" s="19"/>
      <c r="G31" s="26"/>
      <c r="H31" s="26"/>
      <c r="I31" s="26"/>
      <c r="J31" s="26"/>
      <c r="K31" s="26"/>
      <c r="L31" s="26"/>
      <c r="M31" s="26"/>
      <c r="N31" s="26"/>
    </row>
    <row r="32" spans="1:14" x14ac:dyDescent="0.25">
      <c r="A32" s="13"/>
      <c r="B32" s="23" t="s">
        <v>31</v>
      </c>
      <c r="C32" s="24">
        <v>877.27</v>
      </c>
      <c r="D32" s="24">
        <v>1729.49</v>
      </c>
      <c r="E32" s="174">
        <v>2109.5500000000002</v>
      </c>
      <c r="F32" s="19"/>
      <c r="G32" s="26"/>
      <c r="H32" s="26"/>
      <c r="I32" s="26"/>
      <c r="J32" s="26"/>
      <c r="K32" s="26"/>
      <c r="L32" s="26"/>
      <c r="M32" s="26"/>
      <c r="N32" s="26"/>
    </row>
    <row r="33" spans="1:14" x14ac:dyDescent="0.25">
      <c r="A33" s="13"/>
      <c r="B33" s="353" t="s">
        <v>21</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31.5" customHeight="1"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139" t="s">
        <v>35</v>
      </c>
      <c r="D38" s="17"/>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125</v>
      </c>
      <c r="D43" s="351"/>
      <c r="E43" s="352"/>
      <c r="F43" s="17"/>
      <c r="G43" s="26"/>
      <c r="H43" s="26"/>
      <c r="I43" s="26"/>
      <c r="J43" s="26"/>
      <c r="K43" s="26"/>
      <c r="L43" s="26"/>
      <c r="M43" s="26"/>
      <c r="N43" s="26"/>
    </row>
    <row r="44" spans="1:14" x14ac:dyDescent="0.25">
      <c r="A44" s="13"/>
      <c r="B44" s="21" t="s">
        <v>36</v>
      </c>
      <c r="C44" s="367" t="s">
        <v>804</v>
      </c>
      <c r="D44" s="367"/>
      <c r="E44" s="367"/>
      <c r="F44" s="17"/>
      <c r="G44" s="26"/>
      <c r="H44" s="26"/>
      <c r="I44" s="26"/>
      <c r="J44" s="26"/>
      <c r="K44" s="26"/>
      <c r="L44" s="26"/>
      <c r="M44" s="26"/>
      <c r="N44" s="26"/>
    </row>
    <row r="45" spans="1:14" x14ac:dyDescent="0.25">
      <c r="A45" s="13"/>
      <c r="B45" s="21" t="s">
        <v>37</v>
      </c>
      <c r="C45" s="367" t="s">
        <v>107</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369</v>
      </c>
      <c r="C50" s="94" t="s">
        <v>399</v>
      </c>
      <c r="D50" s="33"/>
      <c r="E50" s="32"/>
      <c r="F50" s="26"/>
      <c r="G50" s="26"/>
      <c r="H50" s="26"/>
      <c r="I50" s="26"/>
      <c r="J50" s="26"/>
      <c r="K50" s="26"/>
      <c r="L50" s="26"/>
      <c r="M50" s="26"/>
    </row>
    <row r="51" spans="1:14" x14ac:dyDescent="0.25">
      <c r="A51" s="34"/>
      <c r="B51" s="353" t="s">
        <v>400</v>
      </c>
      <c r="C51" s="354"/>
      <c r="D51" s="354"/>
      <c r="E51" s="355"/>
      <c r="F51" s="26"/>
      <c r="G51" s="26"/>
      <c r="H51" s="26"/>
      <c r="I51" s="26"/>
      <c r="J51" s="26"/>
      <c r="K51" s="26"/>
      <c r="L51" s="26"/>
      <c r="M51" s="26"/>
    </row>
    <row r="52" spans="1:14" x14ac:dyDescent="0.25">
      <c r="A52" s="36"/>
      <c r="B52" s="345" t="s">
        <v>371</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401</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248</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402</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403</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404</v>
      </c>
      <c r="D69" s="372" t="s">
        <v>405</v>
      </c>
      <c r="E69" s="336" t="s">
        <v>385</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32.4</v>
      </c>
      <c r="D71" s="54">
        <v>38.299999999999997</v>
      </c>
      <c r="E71" s="54">
        <v>38.5</v>
      </c>
      <c r="F71" s="54">
        <v>39.15</v>
      </c>
      <c r="G71" s="54">
        <v>46</v>
      </c>
      <c r="H71" s="53">
        <v>29</v>
      </c>
      <c r="I71" s="53">
        <v>69</v>
      </c>
      <c r="J71" s="53">
        <v>72.400000000000006</v>
      </c>
      <c r="K71" s="53">
        <v>32.6</v>
      </c>
      <c r="L71" s="53">
        <v>45.5</v>
      </c>
      <c r="M71" s="53">
        <v>98.8</v>
      </c>
      <c r="N71" s="53">
        <v>32.15</v>
      </c>
    </row>
    <row r="72" spans="1:14" ht="25.5" x14ac:dyDescent="0.2">
      <c r="A72" s="4"/>
      <c r="B72" s="21" t="s">
        <v>76</v>
      </c>
      <c r="C72" s="53">
        <v>29442.63</v>
      </c>
      <c r="D72" s="53">
        <v>29461.45</v>
      </c>
      <c r="E72" s="53">
        <v>31095.7</v>
      </c>
      <c r="F72" s="54">
        <v>29620.5</v>
      </c>
      <c r="G72" s="54">
        <v>29167.68</v>
      </c>
      <c r="H72" s="56">
        <v>29442.63</v>
      </c>
      <c r="I72" s="54">
        <v>32968.68</v>
      </c>
      <c r="J72" s="54">
        <v>36443.980000000003</v>
      </c>
      <c r="K72" s="56">
        <v>29241.48</v>
      </c>
      <c r="L72" s="53">
        <v>38672.910000000003</v>
      </c>
      <c r="M72" s="53">
        <v>38989.65</v>
      </c>
      <c r="N72" s="53">
        <v>32972.559999999998</v>
      </c>
    </row>
    <row r="73" spans="1:14" ht="13.5" x14ac:dyDescent="0.25">
      <c r="A73" s="4"/>
      <c r="B73" s="383" t="s">
        <v>21</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117</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102" x14ac:dyDescent="0.25">
      <c r="A81" s="4"/>
      <c r="B81" s="59" t="s">
        <v>84</v>
      </c>
      <c r="C81" s="22" t="s">
        <v>85</v>
      </c>
      <c r="D81" s="22" t="s">
        <v>86</v>
      </c>
      <c r="E81" s="22" t="s">
        <v>280</v>
      </c>
      <c r="F81" s="22" t="s">
        <v>88</v>
      </c>
      <c r="G81" s="22" t="s">
        <v>169</v>
      </c>
      <c r="H81" s="17"/>
      <c r="I81" s="17"/>
      <c r="J81" s="17"/>
      <c r="K81" s="17"/>
      <c r="L81" s="17"/>
      <c r="M81" s="17"/>
      <c r="N81" s="17"/>
    </row>
    <row r="82" spans="1:14" ht="12.75" customHeight="1" x14ac:dyDescent="0.2">
      <c r="A82" s="4"/>
      <c r="B82" s="316" t="s">
        <v>90</v>
      </c>
      <c r="C82" s="5" t="s">
        <v>406</v>
      </c>
      <c r="D82" s="91">
        <v>1.83</v>
      </c>
      <c r="E82" s="80">
        <v>3.5</v>
      </c>
      <c r="F82" s="80">
        <v>4.87</v>
      </c>
      <c r="G82" s="25">
        <v>6.15</v>
      </c>
      <c r="H82" s="62"/>
      <c r="I82" s="62"/>
      <c r="J82" s="62"/>
      <c r="K82" s="62"/>
      <c r="L82" s="62"/>
      <c r="M82" s="62"/>
      <c r="N82" s="62"/>
    </row>
    <row r="83" spans="1:14" x14ac:dyDescent="0.25">
      <c r="A83" s="4"/>
      <c r="B83" s="316"/>
      <c r="C83" s="5" t="s">
        <v>92</v>
      </c>
      <c r="D83" s="92" t="s">
        <v>126</v>
      </c>
      <c r="E83" s="80"/>
      <c r="F83" s="80"/>
      <c r="G83" s="25"/>
      <c r="H83" s="62"/>
      <c r="I83" s="62"/>
      <c r="J83" s="62"/>
      <c r="K83" s="62"/>
      <c r="L83" s="62"/>
      <c r="M83" s="62"/>
      <c r="N83" s="62"/>
    </row>
    <row r="84" spans="1:14" x14ac:dyDescent="0.25">
      <c r="A84" s="4"/>
      <c r="B84" s="316"/>
      <c r="C84" s="25" t="s">
        <v>407</v>
      </c>
      <c r="D84" s="92">
        <v>7.65</v>
      </c>
      <c r="E84" s="80">
        <v>6.65</v>
      </c>
      <c r="F84" s="80">
        <v>10.88</v>
      </c>
      <c r="G84" s="25">
        <v>4.91</v>
      </c>
      <c r="H84" s="62"/>
      <c r="I84" s="62"/>
      <c r="J84" s="62"/>
      <c r="K84" s="62"/>
      <c r="L84" s="62"/>
      <c r="M84" s="62"/>
      <c r="N84" s="62"/>
    </row>
    <row r="85" spans="1:14" x14ac:dyDescent="0.25">
      <c r="A85" s="4"/>
      <c r="B85" s="316"/>
      <c r="C85" s="25" t="s">
        <v>408</v>
      </c>
      <c r="D85" s="92">
        <v>5.2729999999999997</v>
      </c>
      <c r="E85" s="80">
        <v>10.72</v>
      </c>
      <c r="F85" s="80">
        <v>7.26</v>
      </c>
      <c r="G85" s="25">
        <v>18.690000000000001</v>
      </c>
      <c r="H85" s="62"/>
      <c r="I85" s="62"/>
      <c r="J85" s="62"/>
      <c r="K85" s="62"/>
      <c r="L85" s="62"/>
      <c r="M85" s="62"/>
      <c r="N85" s="62"/>
    </row>
    <row r="86" spans="1:14" x14ac:dyDescent="0.25">
      <c r="A86" s="4"/>
      <c r="B86" s="316"/>
      <c r="C86" s="5" t="s">
        <v>93</v>
      </c>
      <c r="D86" s="164">
        <f>SUM(D84:D85)/2</f>
        <v>6.4615</v>
      </c>
      <c r="E86" s="165">
        <f>SUM(E84:E85)/2</f>
        <v>8.6850000000000005</v>
      </c>
      <c r="F86" s="95">
        <f>SUM(F84:F85)/2</f>
        <v>9.07</v>
      </c>
      <c r="G86" s="167">
        <f>SUM(G84:G85)/2</f>
        <v>11.8</v>
      </c>
      <c r="H86" s="62"/>
      <c r="I86" s="62"/>
      <c r="J86" s="62"/>
      <c r="K86" s="62"/>
      <c r="L86" s="62"/>
      <c r="M86" s="62"/>
      <c r="N86" s="62"/>
    </row>
    <row r="87" spans="1:14" x14ac:dyDescent="0.2">
      <c r="A87" s="4"/>
      <c r="B87" s="316" t="s">
        <v>94</v>
      </c>
      <c r="C87" s="5" t="s">
        <v>406</v>
      </c>
      <c r="D87" s="93">
        <v>14.75</v>
      </c>
      <c r="E87" s="80">
        <v>11.19</v>
      </c>
      <c r="F87" s="85">
        <f>I71/F82</f>
        <v>14.168377823408624</v>
      </c>
      <c r="G87" s="154">
        <f>L71/G82</f>
        <v>7.3983739837398366</v>
      </c>
      <c r="H87" s="62"/>
      <c r="I87" s="62"/>
      <c r="J87" s="62"/>
      <c r="K87" s="62"/>
      <c r="L87" s="62"/>
      <c r="M87" s="62"/>
      <c r="N87" s="62"/>
    </row>
    <row r="88" spans="1:14" x14ac:dyDescent="0.25">
      <c r="A88" s="4"/>
      <c r="B88" s="316"/>
      <c r="C88" s="5" t="s">
        <v>92</v>
      </c>
      <c r="D88" s="92" t="s">
        <v>126</v>
      </c>
      <c r="E88" s="80"/>
      <c r="F88" s="80"/>
      <c r="G88" s="25"/>
      <c r="H88" s="62"/>
      <c r="I88" s="62"/>
      <c r="J88" s="62"/>
      <c r="K88" s="62"/>
      <c r="L88" s="62"/>
      <c r="M88" s="62"/>
      <c r="N88" s="62"/>
    </row>
    <row r="89" spans="1:14" x14ac:dyDescent="0.25">
      <c r="A89" s="4"/>
      <c r="B89" s="316"/>
      <c r="C89" s="25" t="s">
        <v>407</v>
      </c>
      <c r="D89" s="92">
        <v>16.98</v>
      </c>
      <c r="E89" s="80">
        <v>22.72</v>
      </c>
      <c r="F89" s="85">
        <f>182.05/F84</f>
        <v>16.73253676470588</v>
      </c>
      <c r="G89" s="154">
        <f>70.05/G84</f>
        <v>14.266802443991851</v>
      </c>
      <c r="H89" s="62"/>
      <c r="I89" s="62"/>
      <c r="J89" s="62"/>
      <c r="K89" s="62"/>
      <c r="L89" s="62"/>
      <c r="M89" s="62"/>
      <c r="N89" s="62"/>
    </row>
    <row r="90" spans="1:14" x14ac:dyDescent="0.25">
      <c r="A90" s="4"/>
      <c r="B90" s="316"/>
      <c r="C90" s="25" t="s">
        <v>408</v>
      </c>
      <c r="D90" s="92">
        <v>20.25</v>
      </c>
      <c r="E90" s="80">
        <v>9.94</v>
      </c>
      <c r="F90" s="85">
        <f>125.6/F85</f>
        <v>17.300275482093664</v>
      </c>
      <c r="G90" s="154">
        <f>134/G85</f>
        <v>7.1696094168004274</v>
      </c>
      <c r="H90" s="62"/>
      <c r="I90" s="62"/>
      <c r="J90" s="62"/>
      <c r="K90" s="62"/>
      <c r="L90" s="62"/>
      <c r="M90" s="62"/>
      <c r="N90" s="62"/>
    </row>
    <row r="91" spans="1:14" x14ac:dyDescent="0.25">
      <c r="A91" s="4"/>
      <c r="B91" s="316"/>
      <c r="C91" s="5" t="s">
        <v>93</v>
      </c>
      <c r="D91" s="164">
        <f>SUM(D89:D90)/2</f>
        <v>18.615000000000002</v>
      </c>
      <c r="E91" s="165">
        <f>SUM(E89:E90)/2</f>
        <v>16.329999999999998</v>
      </c>
      <c r="F91" s="165">
        <f>SUM(F89:F90)/2</f>
        <v>17.016406123399772</v>
      </c>
      <c r="G91" s="165">
        <f>SUM(G89:G90)/2</f>
        <v>10.71820593039614</v>
      </c>
      <c r="H91" s="62"/>
      <c r="I91" s="62"/>
      <c r="J91" s="62"/>
      <c r="K91" s="62"/>
      <c r="L91" s="62"/>
      <c r="M91" s="62"/>
      <c r="N91" s="62"/>
    </row>
    <row r="92" spans="1:14" x14ac:dyDescent="0.2">
      <c r="A92" s="4"/>
      <c r="B92" s="316" t="s">
        <v>95</v>
      </c>
      <c r="C92" s="5" t="s">
        <v>406</v>
      </c>
      <c r="D92" s="91">
        <v>7.82</v>
      </c>
      <c r="E92" s="80">
        <v>11.03</v>
      </c>
      <c r="F92" s="111">
        <f>252.22/2338.71</f>
        <v>0.10784577822816852</v>
      </c>
      <c r="G92" s="154">
        <f>380.05/2718.77*100</f>
        <v>13.978747742545341</v>
      </c>
      <c r="H92" s="62"/>
      <c r="I92" s="62"/>
      <c r="J92" s="62"/>
      <c r="K92" s="62"/>
      <c r="L92" s="62"/>
      <c r="M92" s="62"/>
      <c r="N92" s="62"/>
    </row>
    <row r="93" spans="1:14" x14ac:dyDescent="0.25">
      <c r="A93" s="4"/>
      <c r="B93" s="316"/>
      <c r="C93" s="5" t="s">
        <v>92</v>
      </c>
      <c r="D93" s="92" t="s">
        <v>126</v>
      </c>
      <c r="E93" s="80"/>
      <c r="F93" s="80"/>
      <c r="G93" s="25"/>
      <c r="H93" s="62"/>
      <c r="I93" s="62"/>
      <c r="J93" s="62"/>
      <c r="K93" s="62"/>
      <c r="L93" s="62"/>
      <c r="M93" s="62"/>
      <c r="N93" s="62"/>
    </row>
    <row r="94" spans="1:14" x14ac:dyDescent="0.25">
      <c r="A94" s="4"/>
      <c r="B94" s="316"/>
      <c r="C94" s="25" t="s">
        <v>407</v>
      </c>
      <c r="D94" s="92">
        <v>10.32</v>
      </c>
      <c r="E94" s="80">
        <v>13.55</v>
      </c>
      <c r="F94" s="111">
        <f>1993.08/12811.41</f>
        <v>0.1555706983072121</v>
      </c>
      <c r="G94" s="154">
        <f>933/14143.88*100</f>
        <v>6.5964926173016174</v>
      </c>
      <c r="H94" s="62"/>
      <c r="I94" s="62"/>
      <c r="J94" s="62"/>
      <c r="K94" s="62"/>
      <c r="L94" s="62"/>
      <c r="M94" s="62"/>
      <c r="N94" s="62"/>
    </row>
    <row r="95" spans="1:14" x14ac:dyDescent="0.25">
      <c r="A95" s="4"/>
      <c r="B95" s="316"/>
      <c r="C95" s="25" t="s">
        <v>408</v>
      </c>
      <c r="D95" s="92">
        <v>9.19</v>
      </c>
      <c r="E95" s="80">
        <v>8.19</v>
      </c>
      <c r="F95" s="86">
        <f>217.74/4142.1</f>
        <v>5.2567538205258203E-2</v>
      </c>
      <c r="G95" s="154">
        <f>560.87/4702.97*100</f>
        <v>11.925868121633776</v>
      </c>
      <c r="H95" s="62"/>
      <c r="I95" s="62"/>
      <c r="J95" s="62"/>
      <c r="K95" s="62"/>
      <c r="L95" s="62"/>
      <c r="M95" s="62"/>
      <c r="N95" s="62"/>
    </row>
    <row r="96" spans="1:14" x14ac:dyDescent="0.25">
      <c r="A96" s="4"/>
      <c r="B96" s="316"/>
      <c r="C96" s="5" t="s">
        <v>93</v>
      </c>
      <c r="D96" s="164">
        <f>SUM(D94:D95)/2</f>
        <v>9.754999999999999</v>
      </c>
      <c r="E96" s="165">
        <f>SUM(E94:E95)/2</f>
        <v>10.870000000000001</v>
      </c>
      <c r="F96" s="165">
        <f>SUM(F94:F95)/2</f>
        <v>0.10406911825623515</v>
      </c>
      <c r="G96" s="165">
        <f>SUM(G94:G95)/2</f>
        <v>9.2611803694676968</v>
      </c>
      <c r="H96" s="62"/>
      <c r="I96" s="62"/>
      <c r="J96" s="62"/>
      <c r="K96" s="66"/>
      <c r="L96" s="62"/>
      <c r="M96" s="62"/>
      <c r="N96" s="62"/>
    </row>
    <row r="97" spans="1:14" x14ac:dyDescent="0.2">
      <c r="A97" s="4"/>
      <c r="B97" s="316" t="s">
        <v>96</v>
      </c>
      <c r="C97" s="5" t="s">
        <v>406</v>
      </c>
      <c r="D97" s="91">
        <v>93.41</v>
      </c>
      <c r="E97" s="80">
        <v>27.23</v>
      </c>
      <c r="F97" s="85">
        <f>2338.71/60.92</f>
        <v>38.389855548260016</v>
      </c>
      <c r="G97" s="154">
        <f>271876792.01/6092200</f>
        <v>44.627029974393487</v>
      </c>
      <c r="H97" s="62"/>
      <c r="I97" s="62"/>
      <c r="J97" s="62"/>
      <c r="K97" s="62"/>
      <c r="L97" s="62"/>
      <c r="M97" s="62"/>
      <c r="N97" s="62"/>
    </row>
    <row r="98" spans="1:14" x14ac:dyDescent="0.25">
      <c r="A98" s="4"/>
      <c r="B98" s="316"/>
      <c r="C98" s="5" t="s">
        <v>92</v>
      </c>
      <c r="D98" s="92" t="s">
        <v>126</v>
      </c>
      <c r="E98" s="80"/>
      <c r="F98" s="80"/>
      <c r="G98" s="25"/>
      <c r="H98" s="62"/>
      <c r="I98" s="62"/>
      <c r="J98" s="62"/>
      <c r="K98" s="62"/>
      <c r="L98" s="62"/>
      <c r="M98" s="62"/>
      <c r="N98" s="62"/>
    </row>
    <row r="99" spans="1:14" x14ac:dyDescent="0.25">
      <c r="A99" s="4"/>
      <c r="B99" s="386"/>
      <c r="C99" s="25" t="s">
        <v>407</v>
      </c>
      <c r="D99" s="92">
        <v>47.3</v>
      </c>
      <c r="E99" s="80">
        <v>49.05</v>
      </c>
      <c r="F99" s="85">
        <f>12811.41/183.27</f>
        <v>69.904567032247499</v>
      </c>
      <c r="G99" s="154">
        <f>14143.88*100000/19115000</f>
        <v>73.993617577818469</v>
      </c>
      <c r="H99" s="62"/>
      <c r="I99" s="62"/>
      <c r="J99" s="62"/>
      <c r="K99" s="62"/>
      <c r="L99" s="62"/>
      <c r="M99" s="62"/>
      <c r="N99" s="62"/>
    </row>
    <row r="100" spans="1:14" x14ac:dyDescent="0.25">
      <c r="A100" s="4"/>
      <c r="B100" s="386"/>
      <c r="C100" s="25" t="s">
        <v>408</v>
      </c>
      <c r="D100" s="92">
        <v>122.32</v>
      </c>
      <c r="E100" s="80">
        <v>130.72</v>
      </c>
      <c r="F100" s="80">
        <f>4142.1/30</f>
        <v>138.07000000000002</v>
      </c>
      <c r="G100" s="154">
        <f>4702.97*100000/3000200</f>
        <v>156.75521631891206</v>
      </c>
      <c r="H100" s="62"/>
      <c r="I100" s="62"/>
      <c r="J100" s="62"/>
      <c r="K100" s="62"/>
      <c r="L100" s="62"/>
      <c r="M100" s="62"/>
      <c r="N100" s="62"/>
    </row>
    <row r="101" spans="1:14" x14ac:dyDescent="0.25">
      <c r="A101" s="4"/>
      <c r="B101" s="386"/>
      <c r="C101" s="5" t="s">
        <v>93</v>
      </c>
      <c r="D101" s="164">
        <f>SUM(D99:D100)/2</f>
        <v>84.81</v>
      </c>
      <c r="E101" s="165">
        <f>SUM(E99:E100)/2</f>
        <v>89.884999999999991</v>
      </c>
      <c r="F101" s="165">
        <f>SUM(F99:F100)/2</f>
        <v>103.98728351612377</v>
      </c>
      <c r="G101" s="165">
        <f>SUM(G99:G100)/2</f>
        <v>115.37441694836527</v>
      </c>
      <c r="H101" s="62"/>
      <c r="I101" s="62"/>
      <c r="J101" s="62"/>
      <c r="K101" s="62"/>
      <c r="L101" s="62"/>
      <c r="M101" s="62"/>
      <c r="N101" s="62"/>
    </row>
    <row r="102" spans="1:14" s="57" customFormat="1" x14ac:dyDescent="0.25">
      <c r="B102" s="387"/>
      <c r="C102" s="388"/>
      <c r="D102" s="388"/>
      <c r="E102" s="388"/>
      <c r="F102" s="388"/>
      <c r="G102" s="389"/>
    </row>
    <row r="103" spans="1:14" x14ac:dyDescent="0.25">
      <c r="A103" s="4"/>
      <c r="B103" s="376" t="s">
        <v>409</v>
      </c>
      <c r="C103" s="377"/>
      <c r="D103" s="377"/>
      <c r="E103" s="377"/>
      <c r="F103" s="377"/>
      <c r="G103" s="378"/>
      <c r="H103" s="62"/>
      <c r="I103" s="62"/>
      <c r="J103" s="62"/>
      <c r="K103" s="62"/>
      <c r="L103" s="62"/>
      <c r="M103" s="62"/>
      <c r="N103" s="62"/>
    </row>
    <row r="104" spans="1:14" x14ac:dyDescent="0.25">
      <c r="A104" s="4"/>
      <c r="B104" s="379" t="s">
        <v>128</v>
      </c>
      <c r="C104" s="380"/>
      <c r="D104" s="380"/>
      <c r="E104" s="380"/>
      <c r="F104" s="380"/>
      <c r="G104" s="381"/>
      <c r="H104" s="62"/>
      <c r="I104" s="62"/>
      <c r="J104" s="62"/>
      <c r="K104" s="62"/>
      <c r="L104" s="62"/>
      <c r="M104" s="62"/>
      <c r="N104" s="62"/>
    </row>
    <row r="105" spans="1:14" x14ac:dyDescent="0.25">
      <c r="A105" s="4"/>
      <c r="B105" s="353"/>
      <c r="C105" s="354"/>
      <c r="D105" s="354"/>
      <c r="E105" s="354"/>
      <c r="F105" s="354"/>
      <c r="G105" s="355"/>
      <c r="H105" s="62"/>
      <c r="I105" s="62"/>
      <c r="J105" s="62"/>
      <c r="K105" s="62"/>
      <c r="L105" s="62"/>
      <c r="M105" s="62"/>
      <c r="N105" s="62"/>
    </row>
    <row r="106" spans="1:14" x14ac:dyDescent="0.25">
      <c r="A106" s="26"/>
      <c r="B106" s="12"/>
      <c r="C106" s="323"/>
      <c r="D106" s="323"/>
      <c r="E106" s="323"/>
      <c r="F106" s="323"/>
      <c r="G106" s="323"/>
      <c r="H106" s="62"/>
      <c r="I106" s="62"/>
      <c r="J106" s="26"/>
      <c r="K106" s="26"/>
      <c r="L106" s="26"/>
      <c r="M106" s="26"/>
      <c r="N106" s="26"/>
    </row>
    <row r="107" spans="1:14" x14ac:dyDescent="0.25">
      <c r="A107" s="13">
        <v>14</v>
      </c>
      <c r="B107" s="70" t="s">
        <v>99</v>
      </c>
      <c r="C107" s="324" t="s">
        <v>48</v>
      </c>
      <c r="D107" s="325"/>
      <c r="E107" s="325"/>
      <c r="F107" s="325"/>
      <c r="G107" s="326"/>
      <c r="H107" s="26"/>
      <c r="I107" s="26"/>
      <c r="J107" s="26"/>
      <c r="K107" s="26"/>
      <c r="L107" s="26"/>
      <c r="M107" s="26"/>
      <c r="N107" s="26"/>
    </row>
    <row r="108" spans="1:14" x14ac:dyDescent="0.25">
      <c r="A108" s="71"/>
      <c r="B108" s="26"/>
      <c r="C108" s="84"/>
      <c r="D108" s="84"/>
      <c r="E108" s="84"/>
      <c r="F108" s="84"/>
      <c r="G108" s="84"/>
      <c r="H108" s="26"/>
      <c r="I108" s="26"/>
      <c r="J108" s="26"/>
      <c r="K108" s="26"/>
      <c r="L108" s="26"/>
      <c r="M108" s="26"/>
      <c r="N108" s="26"/>
    </row>
    <row r="109" spans="1:14" x14ac:dyDescent="0.25">
      <c r="A109" s="26"/>
      <c r="B109" s="374" t="s">
        <v>410</v>
      </c>
      <c r="C109" s="375"/>
      <c r="D109" s="375"/>
      <c r="E109" s="375"/>
      <c r="F109" s="375"/>
      <c r="G109" s="375"/>
      <c r="H109" s="375"/>
      <c r="I109" s="26"/>
      <c r="J109" s="26"/>
      <c r="K109" s="26"/>
      <c r="L109" s="26"/>
      <c r="M109" s="26"/>
      <c r="N109" s="26"/>
    </row>
    <row r="110" spans="1:14" x14ac:dyDescent="0.25">
      <c r="A110" s="26"/>
      <c r="I110" s="26"/>
      <c r="J110" s="26"/>
      <c r="K110" s="26"/>
      <c r="L110" s="26"/>
      <c r="M110" s="26"/>
      <c r="N110" s="26"/>
    </row>
    <row r="111" spans="1:14" x14ac:dyDescent="0.25">
      <c r="A111" s="26"/>
      <c r="J111" s="26"/>
      <c r="K111" s="26"/>
      <c r="L111" s="26"/>
      <c r="M111" s="26"/>
      <c r="N111" s="26"/>
    </row>
  </sheetData>
  <sheetProtection password="E9DF" sheet="1" objects="1" scenarios="1"/>
  <mergeCells count="59">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92:B96"/>
    <mergeCell ref="B97:B101"/>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6:N76"/>
    <mergeCell ref="B77:N77"/>
    <mergeCell ref="B79:G79"/>
    <mergeCell ref="B82:B86"/>
    <mergeCell ref="B87:B91"/>
    <mergeCell ref="B109:H109"/>
    <mergeCell ref="B102:G102"/>
    <mergeCell ref="B103:G103"/>
    <mergeCell ref="B104:G104"/>
    <mergeCell ref="B105:G105"/>
    <mergeCell ref="C106:G106"/>
    <mergeCell ref="C107:G107"/>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opLeftCell="A50" workbookViewId="0">
      <selection activeCell="A61" sqref="A61"/>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411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412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413</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414</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397</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7.7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173" t="s">
        <v>26</v>
      </c>
      <c r="E28" s="22" t="s">
        <v>27</v>
      </c>
      <c r="F28" s="19"/>
      <c r="G28" s="26"/>
      <c r="H28" s="26"/>
      <c r="I28" s="26"/>
      <c r="J28" s="26"/>
      <c r="K28" s="26"/>
      <c r="L28" s="26"/>
      <c r="M28" s="26"/>
      <c r="N28" s="26"/>
    </row>
    <row r="29" spans="1:14" ht="12.75" customHeight="1" x14ac:dyDescent="0.25">
      <c r="A29" s="13"/>
      <c r="B29" s="23" t="s">
        <v>28</v>
      </c>
      <c r="C29" s="24">
        <v>2636.56</v>
      </c>
      <c r="D29" s="24">
        <v>3355.17</v>
      </c>
      <c r="E29" s="174">
        <v>3198.36</v>
      </c>
      <c r="F29" s="19"/>
      <c r="G29" s="26"/>
      <c r="H29" s="26"/>
      <c r="I29" s="26"/>
      <c r="J29" s="26"/>
      <c r="K29" s="26"/>
      <c r="L29" s="26"/>
      <c r="M29" s="26"/>
      <c r="N29" s="26"/>
    </row>
    <row r="30" spans="1:14" x14ac:dyDescent="0.25">
      <c r="A30" s="13"/>
      <c r="B30" s="23" t="s">
        <v>29</v>
      </c>
      <c r="C30" s="24">
        <v>501.38</v>
      </c>
      <c r="D30" s="24">
        <v>696.28</v>
      </c>
      <c r="E30" s="174">
        <v>666.66</v>
      </c>
      <c r="F30" s="19"/>
      <c r="G30" s="26"/>
      <c r="H30" s="26"/>
      <c r="I30" s="26"/>
      <c r="J30" s="26"/>
      <c r="K30" s="26"/>
      <c r="L30" s="26"/>
      <c r="M30" s="26"/>
      <c r="N30" s="26"/>
    </row>
    <row r="31" spans="1:14" x14ac:dyDescent="0.25">
      <c r="A31" s="13"/>
      <c r="B31" s="23" t="s">
        <v>30</v>
      </c>
      <c r="C31" s="24">
        <v>248.3</v>
      </c>
      <c r="D31" s="24">
        <v>248.3</v>
      </c>
      <c r="E31" s="174">
        <v>248.3</v>
      </c>
      <c r="F31" s="19"/>
      <c r="G31" s="26"/>
      <c r="H31" s="26"/>
      <c r="I31" s="26"/>
      <c r="J31" s="26"/>
      <c r="K31" s="26"/>
      <c r="L31" s="26"/>
      <c r="M31" s="26"/>
      <c r="N31" s="26"/>
    </row>
    <row r="32" spans="1:14" x14ac:dyDescent="0.25">
      <c r="A32" s="13"/>
      <c r="B32" s="23" t="s">
        <v>31</v>
      </c>
      <c r="C32" s="24">
        <v>468.29</v>
      </c>
      <c r="D32" s="24">
        <v>2271.39</v>
      </c>
      <c r="E32" s="174">
        <v>2788.39</v>
      </c>
      <c r="F32" s="19"/>
      <c r="G32" s="26"/>
      <c r="H32" s="26"/>
      <c r="I32" s="26"/>
      <c r="J32" s="26"/>
      <c r="K32" s="26"/>
      <c r="L32" s="26"/>
      <c r="M32" s="26"/>
      <c r="N32" s="26"/>
    </row>
    <row r="33" spans="1:14" x14ac:dyDescent="0.25">
      <c r="A33" s="13"/>
      <c r="B33" s="353" t="s">
        <v>156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140" t="s">
        <v>35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x14ac:dyDescent="0.25">
      <c r="A44" s="13"/>
      <c r="B44" s="21" t="s">
        <v>36</v>
      </c>
      <c r="C44" s="350" t="s">
        <v>805</v>
      </c>
      <c r="D44" s="351"/>
      <c r="E44" s="352"/>
      <c r="F44" s="17"/>
      <c r="G44" s="26"/>
      <c r="H44" s="26"/>
      <c r="I44" s="26"/>
      <c r="J44" s="26"/>
      <c r="K44" s="26"/>
      <c r="L44" s="26"/>
      <c r="M44" s="26"/>
      <c r="N44" s="26"/>
    </row>
    <row r="45" spans="1:14" x14ac:dyDescent="0.25">
      <c r="A45" s="13"/>
      <c r="B45" s="21" t="s">
        <v>37</v>
      </c>
      <c r="C45" s="350" t="s">
        <v>16</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369</v>
      </c>
      <c r="C50" s="94" t="s">
        <v>415</v>
      </c>
      <c r="D50" s="33"/>
      <c r="E50" s="32"/>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t="s">
        <v>416</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417</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248</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416</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418</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419</v>
      </c>
      <c r="D69" s="372" t="s">
        <v>333</v>
      </c>
      <c r="E69" s="336" t="s">
        <v>385</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180</v>
      </c>
      <c r="D71" s="54">
        <v>237</v>
      </c>
      <c r="E71" s="54">
        <v>275</v>
      </c>
      <c r="F71" s="54">
        <v>224</v>
      </c>
      <c r="G71" s="54">
        <v>243.95</v>
      </c>
      <c r="H71" s="53">
        <v>180</v>
      </c>
      <c r="I71" s="53">
        <v>170</v>
      </c>
      <c r="J71" s="53">
        <v>338</v>
      </c>
      <c r="K71" s="53">
        <v>170</v>
      </c>
      <c r="L71" s="53">
        <v>131.9</v>
      </c>
      <c r="M71" s="53">
        <v>190</v>
      </c>
      <c r="N71" s="53">
        <v>107</v>
      </c>
    </row>
    <row r="72" spans="1:14" ht="25.5" x14ac:dyDescent="0.2">
      <c r="A72" s="4"/>
      <c r="B72" s="21" t="s">
        <v>166</v>
      </c>
      <c r="C72" s="53">
        <v>8899.75</v>
      </c>
      <c r="D72" s="53">
        <v>9237.85</v>
      </c>
      <c r="E72" s="53">
        <v>9621.25</v>
      </c>
      <c r="F72" s="54">
        <v>9173.75</v>
      </c>
      <c r="G72" s="54">
        <v>9173.75</v>
      </c>
      <c r="H72" s="54">
        <v>9313.7999999999993</v>
      </c>
      <c r="I72" s="54">
        <v>10113.700000000001</v>
      </c>
      <c r="J72" s="54">
        <v>11171.55</v>
      </c>
      <c r="K72" s="56">
        <v>9075.15</v>
      </c>
      <c r="L72" s="53">
        <v>11623.9</v>
      </c>
      <c r="M72" s="53">
        <v>11760.2</v>
      </c>
      <c r="N72" s="53">
        <v>10004.549999999999</v>
      </c>
    </row>
    <row r="73" spans="1:14" ht="13.5" x14ac:dyDescent="0.25">
      <c r="A73" s="4"/>
      <c r="B73" s="383" t="s">
        <v>156</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420</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102" x14ac:dyDescent="0.25">
      <c r="A81" s="4"/>
      <c r="B81" s="59" t="s">
        <v>84</v>
      </c>
      <c r="C81" s="22" t="s">
        <v>85</v>
      </c>
      <c r="D81" s="22" t="s">
        <v>86</v>
      </c>
      <c r="E81" s="22" t="s">
        <v>280</v>
      </c>
      <c r="F81" s="22" t="s">
        <v>88</v>
      </c>
      <c r="G81" s="22" t="s">
        <v>169</v>
      </c>
      <c r="H81" s="17"/>
      <c r="I81" s="17"/>
      <c r="J81" s="17"/>
      <c r="K81" s="17"/>
      <c r="L81" s="17"/>
      <c r="M81" s="17"/>
      <c r="N81" s="17"/>
    </row>
    <row r="82" spans="1:14" ht="12.75" customHeight="1" x14ac:dyDescent="0.2">
      <c r="A82" s="4"/>
      <c r="B82" s="316" t="s">
        <v>90</v>
      </c>
      <c r="C82" s="5" t="s">
        <v>421</v>
      </c>
      <c r="D82" s="91">
        <v>28.24</v>
      </c>
      <c r="E82" s="80">
        <v>20.190000000000001</v>
      </c>
      <c r="F82" s="80">
        <v>28.04</v>
      </c>
      <c r="G82" s="25">
        <v>26.85</v>
      </c>
      <c r="H82" s="62"/>
      <c r="I82" s="62"/>
      <c r="J82" s="62"/>
      <c r="K82" s="62"/>
      <c r="L82" s="62"/>
      <c r="M82" s="62"/>
      <c r="N82" s="62"/>
    </row>
    <row r="83" spans="1:14" x14ac:dyDescent="0.25">
      <c r="A83" s="4"/>
      <c r="B83" s="316"/>
      <c r="C83" s="5" t="s">
        <v>92</v>
      </c>
      <c r="D83" s="92" t="s">
        <v>126</v>
      </c>
      <c r="E83" s="80"/>
      <c r="F83" s="80"/>
      <c r="G83" s="25"/>
      <c r="H83" s="62"/>
      <c r="I83" s="62"/>
      <c r="J83" s="62"/>
      <c r="K83" s="62"/>
      <c r="L83" s="62"/>
      <c r="M83" s="62"/>
      <c r="N83" s="62"/>
    </row>
    <row r="84" spans="1:14" x14ac:dyDescent="0.25">
      <c r="A84" s="4"/>
      <c r="B84" s="316"/>
      <c r="C84" s="25" t="s">
        <v>422</v>
      </c>
      <c r="D84" s="92">
        <v>6.9</v>
      </c>
      <c r="E84" s="80">
        <v>4.32</v>
      </c>
      <c r="F84" s="80">
        <v>-30.14</v>
      </c>
      <c r="G84" s="25">
        <v>1.02</v>
      </c>
      <c r="H84" s="62"/>
      <c r="I84" s="62"/>
      <c r="J84" s="62"/>
      <c r="K84" s="62"/>
      <c r="L84" s="62"/>
      <c r="M84" s="62"/>
      <c r="N84" s="62"/>
    </row>
    <row r="85" spans="1:14" x14ac:dyDescent="0.25">
      <c r="A85" s="4"/>
      <c r="B85" s="316"/>
      <c r="C85" s="25" t="s">
        <v>423</v>
      </c>
      <c r="D85" s="92">
        <v>14.2</v>
      </c>
      <c r="E85" s="80">
        <v>38.799999999999997</v>
      </c>
      <c r="F85" s="80">
        <v>42.96</v>
      </c>
      <c r="G85" s="25">
        <v>57.34</v>
      </c>
      <c r="H85" s="62"/>
      <c r="I85" s="62"/>
      <c r="J85" s="62"/>
      <c r="K85" s="62"/>
      <c r="L85" s="62"/>
      <c r="M85" s="62"/>
      <c r="N85" s="62"/>
    </row>
    <row r="86" spans="1:14" x14ac:dyDescent="0.25">
      <c r="A86" s="4"/>
      <c r="B86" s="316"/>
      <c r="C86" s="5" t="s">
        <v>93</v>
      </c>
      <c r="D86" s="164">
        <f>SUM(D84:D85)/2</f>
        <v>10.55</v>
      </c>
      <c r="E86" s="165">
        <f>SUM(E84:E85)/2</f>
        <v>21.56</v>
      </c>
      <c r="F86" s="165">
        <f>SUM(F84:F85)/2</f>
        <v>6.41</v>
      </c>
      <c r="G86" s="165">
        <f>SUM(G84:G85)/2</f>
        <v>29.180000000000003</v>
      </c>
      <c r="H86" s="62"/>
      <c r="I86" s="62"/>
      <c r="J86" s="62"/>
      <c r="K86" s="62"/>
      <c r="L86" s="62"/>
      <c r="M86" s="62"/>
      <c r="N86" s="62"/>
    </row>
    <row r="87" spans="1:14" x14ac:dyDescent="0.2">
      <c r="A87" s="4"/>
      <c r="B87" s="316" t="s">
        <v>94</v>
      </c>
      <c r="C87" s="5" t="s">
        <v>421</v>
      </c>
      <c r="D87" s="93">
        <v>9.52</v>
      </c>
      <c r="E87" s="80">
        <v>11.09</v>
      </c>
      <c r="F87" s="85">
        <f>I71/F82</f>
        <v>6.0627674750356633</v>
      </c>
      <c r="G87" s="154">
        <f>L71/G82</f>
        <v>4.9124767225325883</v>
      </c>
      <c r="H87" s="62"/>
      <c r="I87" s="62"/>
      <c r="J87" s="62"/>
      <c r="K87" s="62"/>
      <c r="L87" s="62"/>
      <c r="M87" s="62"/>
      <c r="N87" s="62"/>
    </row>
    <row r="88" spans="1:14" x14ac:dyDescent="0.25">
      <c r="A88" s="4"/>
      <c r="B88" s="316"/>
      <c r="C88" s="5" t="s">
        <v>92</v>
      </c>
      <c r="D88" s="92" t="s">
        <v>126</v>
      </c>
      <c r="E88" s="80"/>
      <c r="F88" s="80"/>
      <c r="G88" s="25"/>
      <c r="H88" s="62"/>
      <c r="I88" s="62"/>
      <c r="J88" s="62"/>
      <c r="K88" s="62"/>
      <c r="L88" s="62"/>
      <c r="M88" s="62"/>
      <c r="N88" s="62"/>
    </row>
    <row r="89" spans="1:14" x14ac:dyDescent="0.25">
      <c r="A89" s="4"/>
      <c r="B89" s="316"/>
      <c r="C89" s="25" t="s">
        <v>422</v>
      </c>
      <c r="D89" s="92">
        <v>19.600000000000001</v>
      </c>
      <c r="E89" s="80">
        <v>19.57</v>
      </c>
      <c r="F89" s="85">
        <f>70.3/F84</f>
        <v>-2.3324485733244855</v>
      </c>
      <c r="G89" s="154">
        <f>75.75/G84</f>
        <v>74.264705882352942</v>
      </c>
      <c r="H89" s="62"/>
      <c r="I89" s="62"/>
      <c r="J89" s="62"/>
      <c r="K89" s="62"/>
      <c r="L89" s="62"/>
      <c r="M89" s="62"/>
      <c r="N89" s="62"/>
    </row>
    <row r="90" spans="1:14" x14ac:dyDescent="0.25">
      <c r="A90" s="4"/>
      <c r="B90" s="316"/>
      <c r="C90" s="25" t="s">
        <v>423</v>
      </c>
      <c r="D90" s="92">
        <v>64.599999999999994</v>
      </c>
      <c r="E90" s="80">
        <v>25.27</v>
      </c>
      <c r="F90" s="85">
        <f>2217.15/F85</f>
        <v>51.609636871508378</v>
      </c>
      <c r="G90" s="154">
        <f>3002.05/G85</f>
        <v>52.355249389605859</v>
      </c>
      <c r="H90" s="62"/>
      <c r="I90" s="62"/>
      <c r="J90" s="62"/>
      <c r="K90" s="62"/>
      <c r="L90" s="62"/>
      <c r="M90" s="62"/>
      <c r="N90" s="62"/>
    </row>
    <row r="91" spans="1:14" x14ac:dyDescent="0.25">
      <c r="A91" s="4"/>
      <c r="B91" s="316"/>
      <c r="C91" s="5" t="s">
        <v>93</v>
      </c>
      <c r="D91" s="164">
        <f>SUM(D89:D90)/2</f>
        <v>42.099999999999994</v>
      </c>
      <c r="E91" s="165">
        <f>SUM(E89:E90)/2</f>
        <v>22.42</v>
      </c>
      <c r="F91" s="165">
        <f>SUM(F89:F90)/2</f>
        <v>24.638594149091947</v>
      </c>
      <c r="G91" s="165">
        <f>SUM(G89:G90)/2</f>
        <v>63.309977635979401</v>
      </c>
      <c r="H91" s="62"/>
      <c r="I91" s="62"/>
      <c r="J91" s="62"/>
      <c r="K91" s="62"/>
      <c r="L91" s="62"/>
      <c r="M91" s="62"/>
      <c r="N91" s="62"/>
    </row>
    <row r="92" spans="1:14" x14ac:dyDescent="0.2">
      <c r="A92" s="4"/>
      <c r="B92" s="316" t="s">
        <v>95</v>
      </c>
      <c r="C92" s="5" t="s">
        <v>421</v>
      </c>
      <c r="D92" s="91">
        <v>34.869999999999997</v>
      </c>
      <c r="E92" s="80">
        <v>69.97</v>
      </c>
      <c r="F92" s="86">
        <f>696.28/2519.69</f>
        <v>0.27633558096432498</v>
      </c>
      <c r="G92" s="154">
        <f>66666119/303668713*100</f>
        <v>21.953568525842833</v>
      </c>
      <c r="H92" s="62"/>
      <c r="I92" s="62"/>
      <c r="J92" s="62"/>
      <c r="K92" s="62"/>
      <c r="L92" s="62"/>
      <c r="M92" s="62"/>
      <c r="N92" s="62"/>
    </row>
    <row r="93" spans="1:14" x14ac:dyDescent="0.25">
      <c r="A93" s="4"/>
      <c r="B93" s="316"/>
      <c r="C93" s="5" t="s">
        <v>92</v>
      </c>
      <c r="D93" s="92" t="s">
        <v>126</v>
      </c>
      <c r="E93" s="80"/>
      <c r="F93" s="80"/>
      <c r="G93" s="25"/>
      <c r="H93" s="62"/>
      <c r="I93" s="62"/>
      <c r="J93" s="62"/>
      <c r="K93" s="62"/>
      <c r="L93" s="62"/>
      <c r="M93" s="62"/>
      <c r="N93" s="62"/>
    </row>
    <row r="94" spans="1:14" x14ac:dyDescent="0.25">
      <c r="A94" s="4"/>
      <c r="B94" s="316"/>
      <c r="C94" s="25" t="s">
        <v>422</v>
      </c>
      <c r="D94" s="92">
        <v>21.5</v>
      </c>
      <c r="E94" s="80">
        <v>10.37</v>
      </c>
      <c r="F94" s="111">
        <f>-12147.03/20901.38</f>
        <v>-0.58115923446203077</v>
      </c>
      <c r="G94" s="154">
        <f>730.45/22125.79*100</f>
        <v>3.3013510478043946</v>
      </c>
      <c r="H94" s="62"/>
      <c r="I94" s="62"/>
      <c r="J94" s="62"/>
      <c r="K94" s="62"/>
      <c r="L94" s="62"/>
      <c r="M94" s="62"/>
      <c r="N94" s="62"/>
    </row>
    <row r="95" spans="1:14" x14ac:dyDescent="0.25">
      <c r="A95" s="4"/>
      <c r="B95" s="316"/>
      <c r="C95" s="25" t="s">
        <v>423</v>
      </c>
      <c r="D95" s="92">
        <v>10.6</v>
      </c>
      <c r="E95" s="111">
        <f>5757.04/36634.8</f>
        <v>0.15714675663576708</v>
      </c>
      <c r="F95" s="111">
        <f>7345.59/44166.72</f>
        <v>0.16631504444975764</v>
      </c>
      <c r="G95" s="154">
        <f>9802.99/53911.58*100</f>
        <v>18.183458915505721</v>
      </c>
      <c r="H95" s="62"/>
      <c r="I95" s="62"/>
      <c r="J95" s="62"/>
      <c r="K95" s="62"/>
      <c r="L95" s="62"/>
      <c r="M95" s="62"/>
      <c r="N95" s="62"/>
    </row>
    <row r="96" spans="1:14" x14ac:dyDescent="0.25">
      <c r="A96" s="4"/>
      <c r="B96" s="316"/>
      <c r="C96" s="5" t="s">
        <v>93</v>
      </c>
      <c r="D96" s="164">
        <f>SUM(D94:D95)/2</f>
        <v>16.05</v>
      </c>
      <c r="E96" s="165">
        <f>SUM(E94:E95)/2</f>
        <v>5.2635733783178829</v>
      </c>
      <c r="F96" s="165">
        <f>SUM(F94:F95)/2</f>
        <v>-0.20742209500613656</v>
      </c>
      <c r="G96" s="165">
        <f>SUM(G94:G95)/2</f>
        <v>10.742404981655058</v>
      </c>
      <c r="H96" s="62"/>
      <c r="I96" s="62"/>
      <c r="J96" s="62"/>
      <c r="K96" s="66"/>
      <c r="L96" s="62"/>
      <c r="M96" s="62"/>
      <c r="N96" s="62"/>
    </row>
    <row r="97" spans="1:14" x14ac:dyDescent="0.2">
      <c r="A97" s="4"/>
      <c r="B97" s="316" t="s">
        <v>96</v>
      </c>
      <c r="C97" s="5" t="s">
        <v>421</v>
      </c>
      <c r="D97" s="91">
        <v>81.010000000000005</v>
      </c>
      <c r="E97" s="80">
        <v>28.86</v>
      </c>
      <c r="F97" s="85">
        <f>2519.69/24.83</f>
        <v>101.47764800644383</v>
      </c>
      <c r="G97" s="154">
        <f>303668713/2483000</f>
        <v>122.2991192106323</v>
      </c>
      <c r="H97" s="62"/>
      <c r="I97" s="62"/>
      <c r="J97" s="62"/>
      <c r="K97" s="62"/>
      <c r="L97" s="62"/>
      <c r="M97" s="62"/>
      <c r="N97" s="62"/>
    </row>
    <row r="98" spans="1:14" x14ac:dyDescent="0.25">
      <c r="A98" s="4"/>
      <c r="B98" s="316"/>
      <c r="C98" s="5" t="s">
        <v>92</v>
      </c>
      <c r="D98" s="92" t="s">
        <v>126</v>
      </c>
      <c r="E98" s="80"/>
      <c r="F98" s="80"/>
      <c r="G98" s="25"/>
      <c r="H98" s="62"/>
      <c r="I98" s="62"/>
      <c r="J98" s="62"/>
      <c r="K98" s="62"/>
      <c r="L98" s="62"/>
      <c r="M98" s="62"/>
      <c r="N98" s="62"/>
    </row>
    <row r="99" spans="1:14" x14ac:dyDescent="0.25">
      <c r="A99" s="4"/>
      <c r="B99" s="386"/>
      <c r="C99" s="25" t="s">
        <v>422</v>
      </c>
      <c r="D99" s="92">
        <v>36.6</v>
      </c>
      <c r="E99" s="80">
        <v>41.63</v>
      </c>
      <c r="F99" s="85">
        <f>-20901.38/717.85</f>
        <v>-29.116639966566833</v>
      </c>
      <c r="G99" s="154">
        <f>22125.79*100000/72228100</f>
        <v>30.633216158254196</v>
      </c>
      <c r="H99" s="62"/>
      <c r="I99" s="62"/>
      <c r="J99" s="62"/>
      <c r="K99" s="62"/>
      <c r="L99" s="62"/>
      <c r="M99" s="62"/>
      <c r="N99" s="62"/>
    </row>
    <row r="100" spans="1:14" x14ac:dyDescent="0.25">
      <c r="A100" s="4"/>
      <c r="B100" s="386"/>
      <c r="C100" s="25" t="s">
        <v>423</v>
      </c>
      <c r="D100" s="92">
        <v>181.4</v>
      </c>
      <c r="E100" s="85">
        <f>36634.8/170.98</f>
        <v>214.26365656801968</v>
      </c>
      <c r="F100" s="85">
        <f>44166.72/170.96</f>
        <v>258.34534394010296</v>
      </c>
      <c r="G100" s="154">
        <f>53911.58*100000/17096800</f>
        <v>315.33140704693278</v>
      </c>
      <c r="H100" s="62"/>
      <c r="I100" s="62"/>
      <c r="J100" s="62"/>
      <c r="K100" s="62"/>
      <c r="L100" s="62"/>
      <c r="M100" s="62"/>
      <c r="N100" s="62"/>
    </row>
    <row r="101" spans="1:14" x14ac:dyDescent="0.25">
      <c r="A101" s="4"/>
      <c r="B101" s="386"/>
      <c r="C101" s="5" t="s">
        <v>93</v>
      </c>
      <c r="D101" s="164">
        <f>SUM(D99:D100)/2</f>
        <v>109</v>
      </c>
      <c r="E101" s="165">
        <f>SUM(E99:E100)/2</f>
        <v>127.94682828400984</v>
      </c>
      <c r="F101" s="165">
        <f>SUM(F99:F100)/2</f>
        <v>114.61435198676807</v>
      </c>
      <c r="G101" s="165">
        <f>SUM(G99:G100)/2</f>
        <v>172.98231160259348</v>
      </c>
      <c r="H101" s="62"/>
      <c r="I101" s="62"/>
      <c r="J101" s="62"/>
      <c r="K101" s="62"/>
      <c r="L101" s="62"/>
      <c r="M101" s="62"/>
      <c r="N101" s="62"/>
    </row>
    <row r="102" spans="1:14" s="57" customFormat="1" x14ac:dyDescent="0.25">
      <c r="B102" s="387"/>
      <c r="C102" s="388"/>
      <c r="D102" s="388"/>
      <c r="E102" s="388"/>
      <c r="F102" s="388"/>
      <c r="G102" s="389"/>
    </row>
    <row r="103" spans="1:14" x14ac:dyDescent="0.25">
      <c r="A103" s="4"/>
      <c r="B103" s="376" t="s">
        <v>424</v>
      </c>
      <c r="C103" s="377"/>
      <c r="D103" s="377"/>
      <c r="E103" s="377"/>
      <c r="F103" s="377"/>
      <c r="G103" s="378"/>
      <c r="H103" s="62"/>
      <c r="I103" s="62"/>
      <c r="J103" s="62"/>
      <c r="K103" s="62"/>
      <c r="L103" s="62"/>
      <c r="M103" s="62"/>
      <c r="N103" s="62"/>
    </row>
    <row r="104" spans="1:14" x14ac:dyDescent="0.25">
      <c r="A104" s="4"/>
      <c r="B104" s="376" t="s">
        <v>128</v>
      </c>
      <c r="C104" s="377"/>
      <c r="D104" s="377"/>
      <c r="E104" s="377"/>
      <c r="F104" s="377"/>
      <c r="G104" s="378"/>
      <c r="H104" s="62"/>
      <c r="I104" s="62"/>
      <c r="J104" s="62"/>
      <c r="K104" s="62"/>
      <c r="L104" s="62"/>
      <c r="M104" s="62"/>
      <c r="N104" s="62"/>
    </row>
    <row r="105" spans="1:14" x14ac:dyDescent="0.25">
      <c r="A105" s="4"/>
      <c r="B105" s="353"/>
      <c r="C105" s="354"/>
      <c r="D105" s="354"/>
      <c r="E105" s="354"/>
      <c r="F105" s="354"/>
      <c r="G105" s="355"/>
      <c r="H105" s="62"/>
      <c r="I105" s="62"/>
      <c r="J105" s="62"/>
      <c r="K105" s="62"/>
      <c r="L105" s="62"/>
      <c r="M105" s="62"/>
      <c r="N105" s="62"/>
    </row>
    <row r="106" spans="1:14" x14ac:dyDescent="0.25">
      <c r="A106" s="26"/>
      <c r="B106" s="12"/>
      <c r="C106" s="323"/>
      <c r="D106" s="323"/>
      <c r="E106" s="323"/>
      <c r="F106" s="323"/>
      <c r="G106" s="323"/>
      <c r="H106" s="62"/>
      <c r="I106" s="62"/>
      <c r="J106" s="26"/>
      <c r="K106" s="26"/>
      <c r="L106" s="26"/>
      <c r="M106" s="26"/>
      <c r="N106" s="26"/>
    </row>
    <row r="107" spans="1:14" x14ac:dyDescent="0.25">
      <c r="A107" s="13">
        <v>14</v>
      </c>
      <c r="B107" s="70" t="s">
        <v>99</v>
      </c>
      <c r="C107" s="324" t="s">
        <v>48</v>
      </c>
      <c r="D107" s="325"/>
      <c r="E107" s="325"/>
      <c r="F107" s="325"/>
      <c r="G107" s="326"/>
      <c r="H107" s="26"/>
      <c r="I107" s="26"/>
      <c r="J107" s="26"/>
      <c r="K107" s="26"/>
      <c r="L107" s="26"/>
      <c r="M107" s="26"/>
      <c r="N107" s="26"/>
    </row>
    <row r="108" spans="1:14" x14ac:dyDescent="0.25">
      <c r="A108" s="71"/>
      <c r="B108" s="26"/>
      <c r="C108" s="84"/>
      <c r="D108" s="84"/>
      <c r="E108" s="84"/>
      <c r="F108" s="84"/>
      <c r="G108" s="84"/>
      <c r="H108" s="26"/>
      <c r="I108" s="26"/>
      <c r="J108" s="26"/>
      <c r="K108" s="26"/>
      <c r="L108" s="26"/>
      <c r="M108" s="26"/>
      <c r="N108" s="26"/>
    </row>
    <row r="109" spans="1:14" x14ac:dyDescent="0.25">
      <c r="A109" s="26"/>
      <c r="B109" s="374" t="s">
        <v>425</v>
      </c>
      <c r="C109" s="375"/>
      <c r="D109" s="375"/>
      <c r="E109" s="375"/>
      <c r="F109" s="375"/>
      <c r="G109" s="375"/>
      <c r="H109" s="375"/>
      <c r="I109" s="26"/>
      <c r="J109" s="26"/>
      <c r="K109" s="26"/>
      <c r="L109" s="26"/>
      <c r="M109" s="26"/>
      <c r="N109" s="26"/>
    </row>
    <row r="110" spans="1:14" x14ac:dyDescent="0.25">
      <c r="A110" s="26"/>
      <c r="I110" s="26"/>
      <c r="J110" s="26"/>
      <c r="K110" s="26"/>
      <c r="L110" s="26"/>
      <c r="M110" s="26"/>
      <c r="N110" s="26"/>
    </row>
    <row r="111" spans="1:14" x14ac:dyDescent="0.25">
      <c r="A111" s="26"/>
      <c r="J111" s="26"/>
      <c r="K111" s="26"/>
      <c r="L111" s="26"/>
      <c r="M111" s="26"/>
      <c r="N111" s="26"/>
    </row>
  </sheetData>
  <sheetProtection password="E9DF" sheet="1" objects="1" scenarios="1"/>
  <mergeCells count="59">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92:B96"/>
    <mergeCell ref="B97:B101"/>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6:N76"/>
    <mergeCell ref="B77:N77"/>
    <mergeCell ref="B79:G79"/>
    <mergeCell ref="B82:B86"/>
    <mergeCell ref="B87:B91"/>
    <mergeCell ref="B109:H109"/>
    <mergeCell ref="B102:G102"/>
    <mergeCell ref="B103:G103"/>
    <mergeCell ref="B104:G104"/>
    <mergeCell ref="B105:G105"/>
    <mergeCell ref="C106:G106"/>
    <mergeCell ref="C107:G10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topLeftCell="A47" workbookViewId="0">
      <pane ySplit="7440" topLeftCell="A62"/>
      <selection activeCell="B50" sqref="B50:E50"/>
      <selection pane="bottomLeft" activeCell="D67" sqref="D67"/>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8" width="10" style="73" bestFit="1" customWidth="1"/>
    <col min="9"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231" t="s">
        <v>426</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427</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231" t="s">
        <v>428</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12.75" customHeight="1" x14ac:dyDescent="0.25">
      <c r="A17" s="13">
        <v>5</v>
      </c>
      <c r="B17" s="333" t="s">
        <v>14</v>
      </c>
      <c r="C17" s="372"/>
      <c r="D17" s="372"/>
      <c r="E17" s="372"/>
      <c r="F17" s="15"/>
      <c r="G17" s="15"/>
      <c r="H17" s="15"/>
      <c r="I17" s="15"/>
      <c r="J17" s="17"/>
      <c r="K17" s="17"/>
      <c r="L17" s="17"/>
      <c r="M17" s="17"/>
      <c r="N17" s="17"/>
    </row>
    <row r="18" spans="1:14" x14ac:dyDescent="0.25">
      <c r="A18" s="13"/>
      <c r="B18" s="228" t="s">
        <v>15</v>
      </c>
      <c r="C18" s="373" t="s">
        <v>16</v>
      </c>
      <c r="D18" s="373"/>
      <c r="E18" s="373"/>
      <c r="F18" s="19"/>
      <c r="G18" s="17"/>
      <c r="H18" s="17"/>
      <c r="I18" s="17"/>
      <c r="J18" s="17"/>
      <c r="K18" s="17"/>
      <c r="L18" s="17"/>
      <c r="M18" s="17"/>
      <c r="N18" s="17"/>
    </row>
    <row r="19" spans="1:14" ht="25.5" x14ac:dyDescent="0.25">
      <c r="A19" s="13"/>
      <c r="B19" s="228" t="s">
        <v>429</v>
      </c>
      <c r="C19" s="363" t="s">
        <v>48</v>
      </c>
      <c r="D19" s="363"/>
      <c r="E19" s="363"/>
      <c r="F19" s="19"/>
      <c r="G19" s="17"/>
      <c r="I19" s="17"/>
      <c r="J19" s="17"/>
      <c r="K19" s="17"/>
      <c r="L19" s="17"/>
      <c r="M19" s="17"/>
      <c r="N19" s="17"/>
    </row>
    <row r="20" spans="1:14" x14ac:dyDescent="0.25">
      <c r="A20" s="13"/>
      <c r="B20" s="228" t="s">
        <v>18</v>
      </c>
      <c r="C20" s="363" t="s">
        <v>107</v>
      </c>
      <c r="D20" s="363"/>
      <c r="E20" s="363"/>
      <c r="F20" s="19"/>
      <c r="G20" s="17"/>
      <c r="H20" s="17"/>
      <c r="I20" s="17"/>
      <c r="J20" s="17"/>
      <c r="K20" s="17"/>
      <c r="L20" s="17"/>
      <c r="M20" s="17"/>
      <c r="N20" s="17"/>
    </row>
    <row r="21" spans="1:14" x14ac:dyDescent="0.25">
      <c r="A21" s="13"/>
      <c r="B21" s="228" t="s">
        <v>19</v>
      </c>
      <c r="C21" s="363" t="s">
        <v>107</v>
      </c>
      <c r="D21" s="363"/>
      <c r="E21" s="363"/>
      <c r="F21" s="19"/>
      <c r="G21" s="17"/>
      <c r="H21" s="17"/>
      <c r="I21" s="17"/>
      <c r="J21" s="17"/>
      <c r="K21" s="17"/>
      <c r="L21" s="17"/>
      <c r="M21" s="17"/>
      <c r="N21" s="17"/>
    </row>
    <row r="22" spans="1:14" x14ac:dyDescent="0.25">
      <c r="A22" s="13"/>
      <c r="B22" s="20" t="s">
        <v>20</v>
      </c>
      <c r="C22" s="426" t="s">
        <v>107</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5.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26</v>
      </c>
      <c r="E28" s="226" t="s">
        <v>355</v>
      </c>
      <c r="F28" s="19"/>
      <c r="G28" s="26"/>
      <c r="H28" s="26"/>
      <c r="I28" s="26"/>
      <c r="J28" s="26"/>
      <c r="K28" s="26"/>
      <c r="L28" s="26"/>
      <c r="M28" s="26"/>
      <c r="N28" s="26"/>
    </row>
    <row r="29" spans="1:14" ht="12.75" customHeight="1" x14ac:dyDescent="0.25">
      <c r="A29" s="13"/>
      <c r="B29" s="230" t="s">
        <v>28</v>
      </c>
      <c r="C29" s="232">
        <v>13970.2</v>
      </c>
      <c r="D29" s="232">
        <v>17721.13</v>
      </c>
      <c r="E29" s="232">
        <v>15134.42</v>
      </c>
      <c r="F29" s="19"/>
      <c r="G29" s="26"/>
      <c r="H29" s="26"/>
      <c r="I29" s="26"/>
      <c r="J29" s="26"/>
      <c r="K29" s="26"/>
      <c r="L29" s="26"/>
      <c r="M29" s="26"/>
      <c r="N29" s="26"/>
    </row>
    <row r="30" spans="1:14" x14ac:dyDescent="0.25">
      <c r="A30" s="13"/>
      <c r="B30" s="230" t="s">
        <v>29</v>
      </c>
      <c r="C30" s="232">
        <v>258.33</v>
      </c>
      <c r="D30" s="232">
        <v>366.13</v>
      </c>
      <c r="E30" s="232">
        <v>-86.82</v>
      </c>
      <c r="F30" s="19"/>
      <c r="G30" s="26"/>
      <c r="H30" s="26"/>
      <c r="I30" s="26"/>
      <c r="J30" s="26"/>
      <c r="K30" s="26"/>
      <c r="L30" s="26"/>
      <c r="M30" s="26"/>
      <c r="N30" s="26"/>
    </row>
    <row r="31" spans="1:14" x14ac:dyDescent="0.25">
      <c r="A31" s="13"/>
      <c r="B31" s="230" t="s">
        <v>30</v>
      </c>
      <c r="C31" s="232">
        <v>1714.76</v>
      </c>
      <c r="D31" s="232">
        <v>1714.76</v>
      </c>
      <c r="E31" s="232">
        <v>1714.77</v>
      </c>
      <c r="F31" s="19"/>
      <c r="G31" s="26"/>
      <c r="H31" s="26"/>
      <c r="I31" s="26"/>
      <c r="J31" s="26"/>
      <c r="K31" s="26"/>
      <c r="L31" s="26"/>
      <c r="M31" s="26"/>
      <c r="N31" s="26"/>
    </row>
    <row r="32" spans="1:14" x14ac:dyDescent="0.25">
      <c r="A32" s="13"/>
      <c r="B32" s="230" t="s">
        <v>31</v>
      </c>
      <c r="C32" s="232">
        <v>2708.55</v>
      </c>
      <c r="D32" s="232">
        <v>2971.5</v>
      </c>
      <c r="E32" s="232">
        <v>2987.87</v>
      </c>
      <c r="F32" s="19"/>
      <c r="G32" s="26"/>
      <c r="H32" s="26"/>
      <c r="I32" s="26"/>
      <c r="J32" s="26"/>
      <c r="K32" s="26"/>
      <c r="L32" s="26"/>
      <c r="M32" s="26"/>
      <c r="N32" s="26"/>
    </row>
    <row r="33" spans="1:14" ht="12.75" customHeight="1" x14ac:dyDescent="0.25">
      <c r="A33" s="13"/>
      <c r="B33" s="353" t="s">
        <v>356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27" customHeight="1"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36" t="s">
        <v>873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ht="12.75" customHeight="1"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107</v>
      </c>
      <c r="D43" s="351"/>
      <c r="E43" s="352"/>
      <c r="F43" s="17"/>
      <c r="G43" s="26"/>
      <c r="H43" s="26"/>
      <c r="I43" s="26"/>
      <c r="J43" s="26"/>
      <c r="K43" s="26"/>
      <c r="L43" s="26"/>
      <c r="M43" s="26"/>
      <c r="N43" s="26"/>
    </row>
    <row r="44" spans="1:14" x14ac:dyDescent="0.25">
      <c r="A44" s="13"/>
      <c r="B44" s="227" t="s">
        <v>36</v>
      </c>
      <c r="C44" s="350" t="s">
        <v>107</v>
      </c>
      <c r="D44" s="351"/>
      <c r="E44" s="352"/>
      <c r="F44" s="17"/>
      <c r="G44" s="26"/>
      <c r="H44" s="26"/>
      <c r="I44" s="26"/>
      <c r="J44" s="26"/>
      <c r="K44" s="26"/>
      <c r="L44" s="26"/>
      <c r="M44" s="26"/>
      <c r="N44" s="26"/>
    </row>
    <row r="45" spans="1:14" x14ac:dyDescent="0.25">
      <c r="A45" s="13"/>
      <c r="B45" s="227" t="s">
        <v>37</v>
      </c>
      <c r="C45" s="350" t="s">
        <v>879</v>
      </c>
      <c r="D45" s="351"/>
      <c r="E45" s="352"/>
      <c r="F45" s="17"/>
      <c r="G45" s="26"/>
      <c r="H45" s="26"/>
      <c r="I45" s="26"/>
      <c r="J45" s="26"/>
      <c r="K45" s="26"/>
      <c r="L45" s="26"/>
      <c r="M45" s="26"/>
      <c r="N45" s="26"/>
    </row>
    <row r="46" spans="1:14" ht="12.75" customHeight="1"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ht="12.75" customHeight="1" x14ac:dyDescent="0.25">
      <c r="A48" s="29">
        <v>9</v>
      </c>
      <c r="B48" s="340" t="s">
        <v>41</v>
      </c>
      <c r="C48" s="333"/>
      <c r="D48" s="333"/>
      <c r="E48" s="333"/>
      <c r="F48" s="30"/>
      <c r="G48" s="15"/>
      <c r="H48" s="15"/>
      <c r="I48" s="15"/>
      <c r="J48" s="26"/>
      <c r="K48" s="26"/>
      <c r="L48" s="26"/>
      <c r="M48" s="26"/>
    </row>
    <row r="49" spans="1:14" ht="25.5" x14ac:dyDescent="0.25">
      <c r="A49" s="29"/>
      <c r="B49" s="225" t="s">
        <v>42</v>
      </c>
      <c r="C49" s="32" t="s">
        <v>43</v>
      </c>
      <c r="D49" s="33" t="s">
        <v>44</v>
      </c>
      <c r="E49" s="32" t="s">
        <v>268</v>
      </c>
      <c r="F49" s="26"/>
      <c r="G49" s="26"/>
      <c r="H49" s="26"/>
      <c r="I49" s="26"/>
      <c r="J49" s="26"/>
      <c r="K49" s="26"/>
      <c r="L49" s="26"/>
      <c r="M49" s="26"/>
    </row>
    <row r="50" spans="1:14" ht="12.75" customHeight="1" x14ac:dyDescent="0.25">
      <c r="A50" s="34"/>
      <c r="B50" s="423" t="s">
        <v>159</v>
      </c>
      <c r="C50" s="424"/>
      <c r="D50" s="424"/>
      <c r="E50" s="425"/>
      <c r="F50" s="26"/>
      <c r="G50" s="26"/>
      <c r="H50" s="26"/>
      <c r="I50" s="26"/>
      <c r="J50" s="26"/>
      <c r="K50" s="26"/>
      <c r="L50" s="26"/>
      <c r="M50" s="26"/>
    </row>
    <row r="51" spans="1:14" x14ac:dyDescent="0.25">
      <c r="A51" s="37"/>
      <c r="B51" s="75"/>
      <c r="C51" s="28"/>
      <c r="D51" s="28"/>
      <c r="E51" s="28"/>
      <c r="F51" s="19"/>
      <c r="G51" s="19"/>
      <c r="H51" s="19"/>
      <c r="I51" s="19"/>
      <c r="J51" s="26"/>
      <c r="K51" s="26"/>
      <c r="L51" s="26"/>
      <c r="M51" s="26"/>
      <c r="N51" s="26"/>
    </row>
    <row r="52" spans="1:14" ht="12.75" customHeight="1" x14ac:dyDescent="0.25">
      <c r="A52" s="29">
        <v>10</v>
      </c>
      <c r="B52" s="340" t="s">
        <v>41</v>
      </c>
      <c r="C52" s="333"/>
      <c r="D52" s="333"/>
      <c r="E52" s="333"/>
      <c r="F52" s="19"/>
      <c r="G52" s="19"/>
      <c r="H52" s="19"/>
      <c r="I52" s="26"/>
      <c r="J52" s="26"/>
      <c r="K52" s="26"/>
      <c r="L52" s="26"/>
      <c r="M52" s="26"/>
    </row>
    <row r="53" spans="1:14" ht="12.75" customHeight="1" x14ac:dyDescent="0.25">
      <c r="A53" s="34"/>
      <c r="B53" s="357" t="s">
        <v>50</v>
      </c>
      <c r="C53" s="394" t="s">
        <v>159</v>
      </c>
      <c r="D53" s="395"/>
      <c r="E53" s="396"/>
      <c r="F53" s="26"/>
      <c r="G53" s="26"/>
      <c r="H53" s="26"/>
      <c r="I53" s="26"/>
      <c r="J53" s="26"/>
      <c r="K53" s="2"/>
      <c r="L53" s="26"/>
      <c r="M53" s="26"/>
    </row>
    <row r="54" spans="1:14" x14ac:dyDescent="0.25">
      <c r="A54" s="34"/>
      <c r="B54" s="358"/>
      <c r="C54" s="397"/>
      <c r="D54" s="398"/>
      <c r="E54" s="399"/>
      <c r="F54" s="26"/>
      <c r="G54" s="26"/>
      <c r="H54" s="26"/>
      <c r="I54" s="26"/>
      <c r="J54" s="26"/>
      <c r="K54" s="2"/>
      <c r="L54" s="26"/>
      <c r="M54" s="26"/>
    </row>
    <row r="55" spans="1:14" x14ac:dyDescent="0.25">
      <c r="A55" s="29"/>
      <c r="B55" s="39" t="s">
        <v>54</v>
      </c>
      <c r="C55" s="344" t="s">
        <v>56</v>
      </c>
      <c r="D55" s="344"/>
      <c r="E55" s="344"/>
      <c r="F55" s="26"/>
      <c r="G55" s="26"/>
      <c r="H55" s="26"/>
      <c r="I55" s="26"/>
      <c r="J55" s="26"/>
      <c r="K55" s="12"/>
      <c r="L55" s="26"/>
      <c r="M55" s="26"/>
    </row>
    <row r="56" spans="1:14" x14ac:dyDescent="0.25">
      <c r="A56" s="34"/>
      <c r="B56" s="39" t="s">
        <v>55</v>
      </c>
      <c r="C56" s="344" t="s">
        <v>56</v>
      </c>
      <c r="D56" s="344"/>
      <c r="E56" s="344"/>
      <c r="F56" s="26"/>
      <c r="G56" s="26"/>
      <c r="H56" s="26"/>
      <c r="I56" s="26"/>
      <c r="J56" s="26"/>
      <c r="K56" s="40"/>
      <c r="L56" s="26"/>
      <c r="M56" s="26"/>
    </row>
    <row r="57" spans="1:14" s="76" customFormat="1" x14ac:dyDescent="0.2">
      <c r="A57" s="41" t="s">
        <v>57</v>
      </c>
      <c r="B57" s="384" t="s">
        <v>58</v>
      </c>
      <c r="C57" s="384"/>
      <c r="D57" s="384"/>
      <c r="E57" s="384"/>
    </row>
    <row r="58" spans="1:14" x14ac:dyDescent="0.25">
      <c r="A58" s="48"/>
      <c r="B58" s="49"/>
      <c r="C58" s="50"/>
      <c r="D58" s="50"/>
      <c r="E58" s="50"/>
      <c r="F58" s="50"/>
      <c r="G58" s="12"/>
      <c r="H58" s="12"/>
      <c r="I58" s="12"/>
      <c r="J58" s="12"/>
      <c r="K58" s="12"/>
      <c r="L58" s="12"/>
      <c r="M58" s="26"/>
      <c r="N58" s="26"/>
    </row>
    <row r="59" spans="1:14" ht="12.75" customHeight="1" x14ac:dyDescent="0.25">
      <c r="A59" s="13">
        <v>11</v>
      </c>
      <c r="B59" s="5" t="s">
        <v>59</v>
      </c>
      <c r="C59" s="349" t="s">
        <v>60</v>
      </c>
      <c r="D59" s="349"/>
      <c r="E59" s="349"/>
      <c r="F59" s="15"/>
      <c r="G59" s="15"/>
      <c r="H59" s="51"/>
      <c r="I59" s="15"/>
      <c r="J59" s="15"/>
      <c r="K59" s="26"/>
      <c r="L59" s="12"/>
      <c r="M59" s="26"/>
      <c r="N59" s="26"/>
    </row>
    <row r="60" spans="1:14" x14ac:dyDescent="0.25">
      <c r="A60" s="13"/>
      <c r="B60" s="19"/>
      <c r="C60" s="19"/>
      <c r="D60" s="19"/>
      <c r="E60" s="19"/>
      <c r="F60" s="19"/>
      <c r="G60" s="19"/>
      <c r="H60" s="52"/>
      <c r="I60" s="52"/>
      <c r="J60" s="19"/>
      <c r="K60" s="26"/>
      <c r="L60" s="26"/>
      <c r="M60" s="26"/>
      <c r="N60" s="26"/>
    </row>
    <row r="61" spans="1:14" x14ac:dyDescent="0.25">
      <c r="A61" s="13">
        <v>12</v>
      </c>
      <c r="B61" s="15" t="s">
        <v>61</v>
      </c>
      <c r="C61" s="15"/>
      <c r="D61" s="15"/>
      <c r="E61" s="15"/>
      <c r="F61" s="15"/>
      <c r="G61" s="15"/>
      <c r="H61" s="15"/>
      <c r="I61" s="15"/>
      <c r="J61" s="15"/>
      <c r="K61" s="15"/>
      <c r="L61" s="15"/>
      <c r="M61" s="15"/>
      <c r="N61" s="15"/>
    </row>
    <row r="62" spans="1:14" x14ac:dyDescent="0.25">
      <c r="A62" s="13"/>
      <c r="B62" s="15"/>
      <c r="C62" s="15"/>
      <c r="D62" s="15"/>
      <c r="E62" s="15"/>
      <c r="F62" s="15"/>
      <c r="G62" s="15"/>
      <c r="H62" s="15"/>
      <c r="I62" s="15"/>
      <c r="J62" s="15"/>
      <c r="K62" s="15"/>
      <c r="L62" s="15"/>
      <c r="M62" s="15"/>
      <c r="N62" s="15"/>
    </row>
    <row r="63" spans="1:14" x14ac:dyDescent="0.25">
      <c r="A63" s="13"/>
      <c r="B63" s="227" t="s">
        <v>62</v>
      </c>
      <c r="C63" s="230" t="s">
        <v>430</v>
      </c>
      <c r="D63" s="19"/>
      <c r="E63" s="52"/>
      <c r="F63" s="52"/>
      <c r="G63" s="52"/>
      <c r="H63" s="19"/>
      <c r="I63" s="19"/>
      <c r="J63" s="19"/>
      <c r="K63" s="19"/>
      <c r="L63" s="19"/>
      <c r="M63" s="19"/>
      <c r="N63" s="19"/>
    </row>
    <row r="64" spans="1:14" x14ac:dyDescent="0.25">
      <c r="A64" s="13"/>
      <c r="B64" s="19"/>
      <c r="C64" s="19"/>
      <c r="D64" s="19"/>
      <c r="E64" s="19"/>
      <c r="F64" s="19"/>
      <c r="G64" s="19"/>
      <c r="H64" s="19"/>
      <c r="I64" s="19"/>
      <c r="J64" s="19"/>
      <c r="K64" s="19"/>
      <c r="L64" s="19"/>
      <c r="M64" s="19"/>
      <c r="N64" s="19"/>
    </row>
    <row r="65" spans="1:14" ht="12.75" customHeight="1" x14ac:dyDescent="0.25">
      <c r="A65" s="13"/>
      <c r="B65" s="333" t="s">
        <v>64</v>
      </c>
      <c r="C65" s="372" t="s">
        <v>431</v>
      </c>
      <c r="D65" s="372" t="s">
        <v>333</v>
      </c>
      <c r="E65" s="336" t="s">
        <v>385</v>
      </c>
      <c r="F65" s="327" t="s">
        <v>68</v>
      </c>
      <c r="G65" s="328"/>
      <c r="H65" s="329"/>
      <c r="I65" s="330" t="s">
        <v>69</v>
      </c>
      <c r="J65" s="330"/>
      <c r="K65" s="330"/>
      <c r="L65" s="330" t="s">
        <v>70</v>
      </c>
      <c r="M65" s="330"/>
      <c r="N65" s="330"/>
    </row>
    <row r="66" spans="1:14" ht="38.25" x14ac:dyDescent="0.25">
      <c r="A66" s="4"/>
      <c r="B66" s="333"/>
      <c r="C66" s="335"/>
      <c r="D66" s="335"/>
      <c r="E66" s="337"/>
      <c r="F66" s="227" t="s">
        <v>71</v>
      </c>
      <c r="G66" s="227" t="s">
        <v>72</v>
      </c>
      <c r="H66" s="227" t="s">
        <v>73</v>
      </c>
      <c r="I66" s="227" t="s">
        <v>74</v>
      </c>
      <c r="J66" s="227" t="s">
        <v>72</v>
      </c>
      <c r="K66" s="227" t="s">
        <v>73</v>
      </c>
      <c r="L66" s="227" t="s">
        <v>74</v>
      </c>
      <c r="M66" s="227" t="s">
        <v>72</v>
      </c>
      <c r="N66" s="227" t="s">
        <v>73</v>
      </c>
    </row>
    <row r="67" spans="1:14" x14ac:dyDescent="0.25">
      <c r="A67" s="4"/>
      <c r="B67" s="227" t="s">
        <v>165</v>
      </c>
      <c r="C67" s="53">
        <v>19.899999999999999</v>
      </c>
      <c r="D67" s="54">
        <v>17.649999999999999</v>
      </c>
      <c r="E67" s="54">
        <v>14.5</v>
      </c>
      <c r="F67" s="54">
        <v>14.5</v>
      </c>
      <c r="G67" s="54">
        <v>21.15</v>
      </c>
      <c r="H67" s="53">
        <v>12.25</v>
      </c>
      <c r="I67" s="53">
        <v>12.7</v>
      </c>
      <c r="J67" s="53">
        <v>15.45</v>
      </c>
      <c r="K67" s="53">
        <v>10</v>
      </c>
      <c r="L67" s="53">
        <v>7.05</v>
      </c>
      <c r="M67" s="53">
        <v>14.8</v>
      </c>
      <c r="N67" s="53">
        <v>5.8</v>
      </c>
    </row>
    <row r="68" spans="1:14" ht="25.5" x14ac:dyDescent="0.2">
      <c r="A68" s="4"/>
      <c r="B68" s="227" t="s">
        <v>166</v>
      </c>
      <c r="C68" s="53">
        <v>9173.75</v>
      </c>
      <c r="D68" s="53">
        <v>9313.7999999999993</v>
      </c>
      <c r="E68" s="53">
        <v>10589.1</v>
      </c>
      <c r="F68" s="54">
        <v>10113.700000000001</v>
      </c>
      <c r="G68" s="54">
        <v>11171.55</v>
      </c>
      <c r="H68" s="56">
        <v>9075.15</v>
      </c>
      <c r="I68" s="53">
        <v>11623.9</v>
      </c>
      <c r="J68" s="53">
        <v>11760.2</v>
      </c>
      <c r="K68" s="53">
        <v>10004.549999999999</v>
      </c>
      <c r="L68" s="53">
        <v>8597.75</v>
      </c>
      <c r="M68" s="53">
        <v>12430.5</v>
      </c>
      <c r="N68" s="53">
        <v>7511.1</v>
      </c>
    </row>
    <row r="69" spans="1:14" ht="13.5" x14ac:dyDescent="0.25">
      <c r="A69" s="4"/>
      <c r="B69" s="383" t="s">
        <v>156</v>
      </c>
      <c r="C69" s="383"/>
      <c r="D69" s="383"/>
      <c r="E69" s="383"/>
      <c r="F69" s="383"/>
      <c r="G69" s="383"/>
      <c r="H69" s="383"/>
      <c r="I69" s="383"/>
      <c r="J69" s="383"/>
      <c r="K69" s="383"/>
      <c r="L69" s="383"/>
      <c r="M69" s="383"/>
      <c r="N69" s="383"/>
    </row>
    <row r="70" spans="1:14" ht="12.75" customHeight="1" x14ac:dyDescent="0.25">
      <c r="A70" s="4"/>
      <c r="B70" s="382" t="s">
        <v>79</v>
      </c>
      <c r="C70" s="382"/>
      <c r="D70" s="382"/>
      <c r="E70" s="382"/>
      <c r="F70" s="382"/>
      <c r="G70" s="382"/>
      <c r="H70" s="382"/>
      <c r="I70" s="382"/>
      <c r="J70" s="382"/>
      <c r="K70" s="382"/>
      <c r="L70" s="382"/>
      <c r="M70" s="382"/>
      <c r="N70" s="382"/>
    </row>
    <row r="71" spans="1:14" s="57" customFormat="1" ht="12.75" customHeight="1" x14ac:dyDescent="0.25">
      <c r="B71" s="382" t="s">
        <v>80</v>
      </c>
      <c r="C71" s="382"/>
      <c r="D71" s="382"/>
      <c r="E71" s="382"/>
      <c r="F71" s="382"/>
      <c r="G71" s="382"/>
      <c r="H71" s="382"/>
      <c r="I71" s="382"/>
      <c r="J71" s="382"/>
      <c r="K71" s="382"/>
      <c r="L71" s="382"/>
      <c r="M71" s="382"/>
      <c r="N71" s="382"/>
    </row>
    <row r="72" spans="1:14" ht="12.75" customHeight="1" x14ac:dyDescent="0.25">
      <c r="A72" s="4"/>
      <c r="B72" s="382" t="s">
        <v>420</v>
      </c>
      <c r="C72" s="382"/>
      <c r="D72" s="382"/>
      <c r="E72" s="382"/>
      <c r="F72" s="382"/>
      <c r="G72" s="382"/>
      <c r="H72" s="382"/>
      <c r="I72" s="382"/>
      <c r="J72" s="382"/>
      <c r="K72" s="382"/>
      <c r="L72" s="382"/>
      <c r="M72" s="382"/>
      <c r="N72" s="382"/>
    </row>
    <row r="73" spans="1:14" ht="12.75" customHeight="1" x14ac:dyDescent="0.25">
      <c r="A73" s="4"/>
      <c r="B73" s="382" t="s">
        <v>82</v>
      </c>
      <c r="C73" s="382"/>
      <c r="D73" s="382"/>
      <c r="E73" s="382"/>
      <c r="F73" s="382"/>
      <c r="G73" s="382"/>
      <c r="H73" s="382"/>
      <c r="I73" s="382"/>
      <c r="J73" s="382"/>
      <c r="K73" s="382"/>
      <c r="L73" s="382"/>
      <c r="M73" s="382"/>
      <c r="N73" s="382"/>
    </row>
    <row r="74" spans="1:14" x14ac:dyDescent="0.25">
      <c r="A74" s="4"/>
      <c r="B74" s="58"/>
      <c r="C74" s="58"/>
      <c r="D74" s="58"/>
      <c r="E74" s="58"/>
      <c r="F74" s="58"/>
      <c r="G74" s="17"/>
      <c r="H74" s="17"/>
      <c r="I74" s="17"/>
      <c r="J74" s="17"/>
      <c r="K74" s="17"/>
      <c r="L74" s="17"/>
      <c r="M74" s="17"/>
      <c r="N74" s="17"/>
    </row>
    <row r="75" spans="1:14" ht="12.75" customHeight="1" x14ac:dyDescent="0.25">
      <c r="A75" s="13">
        <v>13</v>
      </c>
      <c r="B75" s="338" t="s">
        <v>83</v>
      </c>
      <c r="C75" s="339"/>
      <c r="D75" s="339"/>
      <c r="E75" s="339"/>
      <c r="F75" s="339"/>
      <c r="G75" s="340"/>
      <c r="H75" s="15"/>
      <c r="I75" s="15"/>
      <c r="J75" s="15"/>
      <c r="K75" s="15"/>
      <c r="L75" s="15"/>
      <c r="M75" s="15"/>
      <c r="N75" s="15"/>
    </row>
    <row r="76" spans="1:14" x14ac:dyDescent="0.25">
      <c r="A76" s="13"/>
      <c r="B76" s="26"/>
      <c r="C76" s="19"/>
      <c r="D76" s="19"/>
      <c r="E76" s="19"/>
      <c r="F76" s="19"/>
      <c r="G76" s="19"/>
      <c r="H76" s="19"/>
      <c r="I76" s="19"/>
      <c r="J76" s="19"/>
      <c r="K76" s="19"/>
      <c r="L76" s="19"/>
      <c r="M76" s="19"/>
      <c r="N76" s="19"/>
    </row>
    <row r="77" spans="1:14" ht="102" x14ac:dyDescent="0.25">
      <c r="A77" s="4"/>
      <c r="B77" s="224" t="s">
        <v>84</v>
      </c>
      <c r="C77" s="226" t="s">
        <v>85</v>
      </c>
      <c r="D77" s="226" t="s">
        <v>86</v>
      </c>
      <c r="E77" s="226" t="s">
        <v>280</v>
      </c>
      <c r="F77" s="226" t="s">
        <v>88</v>
      </c>
      <c r="G77" s="226" t="s">
        <v>169</v>
      </c>
      <c r="H77" s="17"/>
      <c r="I77" s="17"/>
      <c r="J77" s="17"/>
      <c r="K77" s="17"/>
      <c r="L77" s="17"/>
      <c r="M77" s="17"/>
      <c r="N77" s="17"/>
    </row>
    <row r="78" spans="1:14" ht="12.75" customHeight="1" x14ac:dyDescent="0.2">
      <c r="A78" s="4"/>
      <c r="B78" s="316" t="s">
        <v>90</v>
      </c>
      <c r="C78" s="5" t="s">
        <v>432</v>
      </c>
      <c r="D78" s="91">
        <v>1.1299999999999999</v>
      </c>
      <c r="E78" s="91">
        <v>1.51</v>
      </c>
      <c r="F78" s="123">
        <v>2.14</v>
      </c>
      <c r="G78" s="123">
        <v>-0.51</v>
      </c>
      <c r="I78" s="62"/>
      <c r="J78" s="62"/>
      <c r="K78" s="62"/>
      <c r="L78" s="62"/>
      <c r="M78" s="62"/>
      <c r="N78" s="62"/>
    </row>
    <row r="79" spans="1:14" x14ac:dyDescent="0.25">
      <c r="A79" s="4"/>
      <c r="B79" s="316"/>
      <c r="C79" s="5" t="s">
        <v>92</v>
      </c>
      <c r="D79" s="92" t="s">
        <v>126</v>
      </c>
      <c r="E79" s="92"/>
      <c r="F79" s="123"/>
      <c r="G79" s="123"/>
      <c r="I79" s="62"/>
      <c r="J79" s="62"/>
      <c r="K79" s="62"/>
      <c r="L79" s="62"/>
      <c r="M79" s="62"/>
      <c r="N79" s="62"/>
    </row>
    <row r="80" spans="1:14" x14ac:dyDescent="0.25">
      <c r="A80" s="4"/>
      <c r="B80" s="316"/>
      <c r="C80" s="25" t="s">
        <v>433</v>
      </c>
      <c r="D80" s="92">
        <v>2.1</v>
      </c>
      <c r="E80" s="92">
        <v>1.92</v>
      </c>
      <c r="F80" s="123">
        <v>2.5099999999999998</v>
      </c>
      <c r="G80" s="123">
        <v>0.55000000000000004</v>
      </c>
      <c r="I80" s="62"/>
      <c r="J80" s="62"/>
      <c r="K80" s="62"/>
      <c r="L80" s="62"/>
      <c r="M80" s="62"/>
      <c r="N80" s="62"/>
    </row>
    <row r="81" spans="1:14" ht="25.5" x14ac:dyDescent="0.25">
      <c r="A81" s="4"/>
      <c r="B81" s="316"/>
      <c r="C81" s="25" t="s">
        <v>807</v>
      </c>
      <c r="D81" s="92">
        <v>1.9</v>
      </c>
      <c r="E81" s="92">
        <v>3.66</v>
      </c>
      <c r="F81" s="123">
        <v>1.55</v>
      </c>
      <c r="G81" s="123">
        <v>-2.82</v>
      </c>
      <c r="I81" s="62"/>
      <c r="J81" s="62"/>
      <c r="K81" s="62"/>
      <c r="L81" s="62"/>
      <c r="M81" s="62"/>
      <c r="N81" s="62"/>
    </row>
    <row r="82" spans="1:14" x14ac:dyDescent="0.25">
      <c r="A82" s="4"/>
      <c r="B82" s="316"/>
      <c r="C82" s="5" t="s">
        <v>93</v>
      </c>
      <c r="D82" s="164">
        <f>SUM(D80:D81)/2</f>
        <v>2</v>
      </c>
      <c r="E82" s="164">
        <f>SUM(E80:E81)/2</f>
        <v>2.79</v>
      </c>
      <c r="F82" s="164">
        <f>SUM(F80:F81)/2</f>
        <v>2.0299999999999998</v>
      </c>
      <c r="G82" s="164">
        <f>SUM(G80:G81)/2</f>
        <v>-1.1349999999999998</v>
      </c>
      <c r="I82" s="62"/>
      <c r="J82" s="62"/>
      <c r="K82" s="62"/>
      <c r="L82" s="62"/>
      <c r="M82" s="62"/>
      <c r="N82" s="62"/>
    </row>
    <row r="83" spans="1:14" x14ac:dyDescent="0.2">
      <c r="A83" s="4"/>
      <c r="B83" s="316" t="s">
        <v>94</v>
      </c>
      <c r="C83" s="5" t="s">
        <v>432</v>
      </c>
      <c r="D83" s="93">
        <v>10.64</v>
      </c>
      <c r="E83" s="93">
        <f>14.5/1.51</f>
        <v>9.6026490066225172</v>
      </c>
      <c r="F83" s="181">
        <f>I67/F78</f>
        <v>5.9345794392523361</v>
      </c>
      <c r="G83" s="181">
        <f>L67/G78</f>
        <v>-13.823529411764705</v>
      </c>
      <c r="I83" s="62"/>
      <c r="J83" s="62"/>
      <c r="K83" s="62"/>
      <c r="L83" s="62"/>
      <c r="M83" s="62"/>
      <c r="N83" s="62"/>
    </row>
    <row r="84" spans="1:14" x14ac:dyDescent="0.25">
      <c r="A84" s="4"/>
      <c r="B84" s="316"/>
      <c r="C84" s="5" t="s">
        <v>92</v>
      </c>
      <c r="D84" s="92" t="s">
        <v>126</v>
      </c>
      <c r="E84" s="92"/>
      <c r="F84" s="123"/>
      <c r="G84" s="123"/>
      <c r="I84" s="62"/>
      <c r="J84" s="62"/>
      <c r="K84" s="62"/>
      <c r="L84" s="62"/>
      <c r="M84" s="62"/>
      <c r="N84" s="62"/>
    </row>
    <row r="85" spans="1:14" x14ac:dyDescent="0.25">
      <c r="A85" s="4"/>
      <c r="B85" s="316"/>
      <c r="C85" s="25" t="s">
        <v>433</v>
      </c>
      <c r="D85" s="92">
        <v>16.600000000000001</v>
      </c>
      <c r="E85" s="92">
        <f>27.5/1.92</f>
        <v>14.322916666666668</v>
      </c>
      <c r="F85" s="181">
        <f>22/F80</f>
        <v>8.7649402390438258</v>
      </c>
      <c r="G85" s="181">
        <v>57.17</v>
      </c>
      <c r="I85" s="62"/>
      <c r="J85" s="62"/>
      <c r="K85" s="62"/>
      <c r="L85" s="62"/>
      <c r="M85" s="62"/>
      <c r="N85" s="62"/>
    </row>
    <row r="86" spans="1:14" ht="25.5" x14ac:dyDescent="0.25">
      <c r="A86" s="4"/>
      <c r="B86" s="316"/>
      <c r="C86" s="25" t="s">
        <v>807</v>
      </c>
      <c r="D86" s="92">
        <v>12.5</v>
      </c>
      <c r="E86" s="92">
        <f>30.05/3.66</f>
        <v>8.2103825136612016</v>
      </c>
      <c r="F86" s="181">
        <f>16.3/F81</f>
        <v>10.516129032258064</v>
      </c>
      <c r="G86" s="181">
        <v>0</v>
      </c>
      <c r="I86" s="62"/>
      <c r="J86" s="62"/>
      <c r="K86" s="62"/>
      <c r="L86" s="62"/>
      <c r="M86" s="62"/>
      <c r="N86" s="62"/>
    </row>
    <row r="87" spans="1:14" x14ac:dyDescent="0.25">
      <c r="A87" s="4"/>
      <c r="B87" s="316"/>
      <c r="C87" s="5" t="s">
        <v>93</v>
      </c>
      <c r="D87" s="164">
        <f>SUM(D85:D86)/2</f>
        <v>14.55</v>
      </c>
      <c r="E87" s="164">
        <f>SUM(E85:E86)/2</f>
        <v>11.266649590163935</v>
      </c>
      <c r="F87" s="164">
        <f>SUM(F85:F86)/2</f>
        <v>9.640534635650944</v>
      </c>
      <c r="G87" s="164">
        <f>SUM(G85:G86)/2</f>
        <v>28.585000000000001</v>
      </c>
      <c r="I87" s="62"/>
      <c r="J87" s="62"/>
      <c r="K87" s="62"/>
      <c r="L87" s="62"/>
      <c r="M87" s="62"/>
      <c r="N87" s="62"/>
    </row>
    <row r="88" spans="1:14" x14ac:dyDescent="0.2">
      <c r="A88" s="4"/>
      <c r="B88" s="316" t="s">
        <v>95</v>
      </c>
      <c r="C88" s="5" t="s">
        <v>432</v>
      </c>
      <c r="D88" s="91">
        <v>4.4800000000000004</v>
      </c>
      <c r="E88" s="112">
        <f>25833784/442332587</f>
        <v>5.8403528836097257E-2</v>
      </c>
      <c r="F88" s="181">
        <f>36613485/468626806*100</f>
        <v>7.8129301463817677</v>
      </c>
      <c r="G88" s="181">
        <f>-8682046/470264024*100</f>
        <v>-1.8462067172716576</v>
      </c>
      <c r="I88" s="62"/>
      <c r="J88" s="62"/>
      <c r="K88" s="62"/>
      <c r="L88" s="62"/>
      <c r="M88" s="62"/>
      <c r="N88" s="62"/>
    </row>
    <row r="89" spans="1:14" x14ac:dyDescent="0.25">
      <c r="A89" s="4"/>
      <c r="B89" s="316"/>
      <c r="C89" s="5" t="s">
        <v>92</v>
      </c>
      <c r="D89" s="92" t="s">
        <v>126</v>
      </c>
      <c r="E89" s="92"/>
      <c r="F89" s="123"/>
      <c r="G89" s="123"/>
      <c r="I89" s="62"/>
      <c r="J89" s="62"/>
      <c r="K89" s="62"/>
      <c r="L89" s="62"/>
      <c r="M89" s="62"/>
      <c r="N89" s="62"/>
    </row>
    <row r="90" spans="1:14" x14ac:dyDescent="0.25">
      <c r="A90" s="4"/>
      <c r="B90" s="316"/>
      <c r="C90" s="25" t="s">
        <v>433</v>
      </c>
      <c r="D90" s="92">
        <v>2.5</v>
      </c>
      <c r="E90" s="109">
        <f>343.21/11354.87</f>
        <v>3.0225797389137873E-2</v>
      </c>
      <c r="F90" s="181">
        <f>313.15/11221.07*100</f>
        <v>2.790732078135151</v>
      </c>
      <c r="G90" s="181">
        <v>0.63</v>
      </c>
      <c r="I90" s="62"/>
      <c r="J90" s="62"/>
      <c r="K90" s="62"/>
      <c r="L90" s="62"/>
      <c r="M90" s="62"/>
      <c r="N90" s="62"/>
    </row>
    <row r="91" spans="1:14" ht="25.5" x14ac:dyDescent="0.25">
      <c r="A91" s="4"/>
      <c r="B91" s="316"/>
      <c r="C91" s="25" t="s">
        <v>807</v>
      </c>
      <c r="D91" s="92">
        <v>8.1999999999999993</v>
      </c>
      <c r="E91" s="109">
        <f>856.38/21232</f>
        <v>4.0334400904295402E-2</v>
      </c>
      <c r="F91" s="181">
        <f>665.42/21854*100</f>
        <v>3.0448430493273544</v>
      </c>
      <c r="G91" s="181">
        <v>-12.06</v>
      </c>
      <c r="I91" s="62"/>
      <c r="J91" s="62"/>
      <c r="K91" s="62"/>
      <c r="L91" s="62"/>
      <c r="M91" s="62"/>
      <c r="N91" s="62"/>
    </row>
    <row r="92" spans="1:14" x14ac:dyDescent="0.25">
      <c r="A92" s="4"/>
      <c r="B92" s="316"/>
      <c r="C92" s="5" t="s">
        <v>93</v>
      </c>
      <c r="D92" s="164">
        <f>SUM(D90:D91)/2</f>
        <v>5.35</v>
      </c>
      <c r="E92" s="164">
        <f>SUM(E90:E91)/2</f>
        <v>3.5280099146716634E-2</v>
      </c>
      <c r="F92" s="164">
        <f>SUM(F90:F91)/2</f>
        <v>2.9177875637312525</v>
      </c>
      <c r="G92" s="164">
        <f>SUM(G90:G91)/2</f>
        <v>-5.7149999999999999</v>
      </c>
      <c r="I92" s="62"/>
      <c r="J92" s="62"/>
      <c r="K92" s="66"/>
      <c r="L92" s="62"/>
      <c r="M92" s="62"/>
      <c r="N92" s="62"/>
    </row>
    <row r="93" spans="1:14" x14ac:dyDescent="0.2">
      <c r="A93" s="4"/>
      <c r="B93" s="316" t="s">
        <v>96</v>
      </c>
      <c r="C93" s="5" t="s">
        <v>432</v>
      </c>
      <c r="D93" s="91">
        <v>25.16</v>
      </c>
      <c r="E93" s="93">
        <f>442332587/17147670</f>
        <v>25.795492157243519</v>
      </c>
      <c r="F93" s="181">
        <f>468626806/17147670</f>
        <v>27.328891097157808</v>
      </c>
      <c r="G93" s="181">
        <f>470264024/17147670</f>
        <v>27.424368675161116</v>
      </c>
      <c r="I93" s="62"/>
      <c r="J93" s="62"/>
      <c r="K93" s="62"/>
      <c r="L93" s="62"/>
      <c r="M93" s="62"/>
      <c r="N93" s="62"/>
    </row>
    <row r="94" spans="1:14" x14ac:dyDescent="0.25">
      <c r="A94" s="4"/>
      <c r="B94" s="316"/>
      <c r="C94" s="5" t="s">
        <v>92</v>
      </c>
      <c r="D94" s="92" t="s">
        <v>126</v>
      </c>
      <c r="E94" s="92"/>
      <c r="F94" s="123"/>
      <c r="G94" s="123"/>
      <c r="I94" s="62"/>
      <c r="J94" s="62"/>
      <c r="K94" s="62"/>
      <c r="L94" s="62"/>
      <c r="M94" s="62"/>
      <c r="N94" s="62"/>
    </row>
    <row r="95" spans="1:14" x14ac:dyDescent="0.25">
      <c r="A95" s="4"/>
      <c r="B95" s="386"/>
      <c r="C95" s="25" t="s">
        <v>433</v>
      </c>
      <c r="D95" s="92">
        <v>78.099999999999994</v>
      </c>
      <c r="E95" s="92">
        <f>11354.87/125.1</f>
        <v>90.766346922462034</v>
      </c>
      <c r="F95" s="181">
        <f>11221.07*100000/6255000</f>
        <v>179.39360511590726</v>
      </c>
      <c r="G95" s="181">
        <v>85.18</v>
      </c>
      <c r="I95" s="62"/>
      <c r="J95" s="62"/>
      <c r="K95" s="62"/>
      <c r="L95" s="62"/>
      <c r="M95" s="62"/>
      <c r="N95" s="62"/>
    </row>
    <row r="96" spans="1:14" ht="25.5" x14ac:dyDescent="0.25">
      <c r="A96" s="4"/>
      <c r="B96" s="386"/>
      <c r="C96" s="25" t="s">
        <v>807</v>
      </c>
      <c r="D96" s="92">
        <v>21.7</v>
      </c>
      <c r="E96" s="92">
        <f>21232/428</f>
        <v>49.607476635514018</v>
      </c>
      <c r="F96" s="181">
        <f>21854*100000/8560000</f>
        <v>255.30373831775702</v>
      </c>
      <c r="G96" s="181">
        <v>21.88</v>
      </c>
      <c r="I96" s="62"/>
      <c r="J96" s="62"/>
      <c r="K96" s="62"/>
      <c r="L96" s="62"/>
      <c r="M96" s="62"/>
      <c r="N96" s="62"/>
    </row>
    <row r="97" spans="1:14" x14ac:dyDescent="0.25">
      <c r="A97" s="4"/>
      <c r="B97" s="386"/>
      <c r="C97" s="5" t="s">
        <v>93</v>
      </c>
      <c r="D97" s="164">
        <f>SUM(D95:D96)/2</f>
        <v>49.9</v>
      </c>
      <c r="E97" s="164">
        <f>SUM(E95:E96)/2</f>
        <v>70.186911778988019</v>
      </c>
      <c r="F97" s="164">
        <f>SUM(F95:F96)/2</f>
        <v>217.34867171683214</v>
      </c>
      <c r="G97" s="164">
        <f>SUM(G95:G96)/2</f>
        <v>53.53</v>
      </c>
      <c r="I97" s="62"/>
      <c r="J97" s="62"/>
      <c r="K97" s="62"/>
      <c r="L97" s="62"/>
      <c r="M97" s="62"/>
      <c r="N97" s="62"/>
    </row>
    <row r="98" spans="1:14" s="57" customFormat="1" x14ac:dyDescent="0.25">
      <c r="B98" s="387"/>
      <c r="C98" s="388"/>
      <c r="D98" s="388"/>
      <c r="E98" s="388"/>
      <c r="F98" s="388"/>
      <c r="G98" s="389"/>
    </row>
    <row r="99" spans="1:14" ht="12.75" customHeight="1" x14ac:dyDescent="0.25">
      <c r="A99" s="4"/>
      <c r="B99" s="376" t="s">
        <v>434</v>
      </c>
      <c r="C99" s="377"/>
      <c r="D99" s="377"/>
      <c r="E99" s="377"/>
      <c r="F99" s="377"/>
      <c r="G99" s="378"/>
      <c r="H99" s="62"/>
      <c r="I99" s="62"/>
      <c r="J99" s="62"/>
      <c r="K99" s="62"/>
      <c r="L99" s="62"/>
      <c r="M99" s="62"/>
      <c r="N99" s="62"/>
    </row>
    <row r="100" spans="1:14" ht="12.75" customHeight="1" x14ac:dyDescent="0.25">
      <c r="A100" s="4"/>
      <c r="B100" s="379" t="s">
        <v>128</v>
      </c>
      <c r="C100" s="380"/>
      <c r="D100" s="380"/>
      <c r="E100" s="380"/>
      <c r="F100" s="380"/>
      <c r="G100" s="381"/>
      <c r="H100" s="62"/>
      <c r="I100" s="62"/>
      <c r="J100" s="62"/>
      <c r="K100" s="62"/>
      <c r="L100" s="62"/>
      <c r="M100" s="62"/>
      <c r="N100" s="62"/>
    </row>
    <row r="101" spans="1:14" x14ac:dyDescent="0.25">
      <c r="A101" s="4"/>
      <c r="B101" s="353"/>
      <c r="C101" s="354"/>
      <c r="D101" s="354"/>
      <c r="E101" s="354"/>
      <c r="F101" s="354"/>
      <c r="G101" s="355"/>
      <c r="H101" s="62"/>
      <c r="I101" s="62"/>
      <c r="J101" s="62"/>
      <c r="K101" s="62"/>
      <c r="L101" s="62"/>
      <c r="M101" s="62"/>
      <c r="N101" s="62"/>
    </row>
    <row r="102" spans="1:14" x14ac:dyDescent="0.25">
      <c r="A102" s="26"/>
      <c r="B102" s="12"/>
      <c r="C102" s="323"/>
      <c r="D102" s="323"/>
      <c r="E102" s="323"/>
      <c r="F102" s="323"/>
      <c r="G102" s="323"/>
      <c r="H102" s="62"/>
      <c r="I102" s="62"/>
      <c r="J102" s="26"/>
      <c r="K102" s="26"/>
      <c r="L102" s="26"/>
      <c r="M102" s="26"/>
      <c r="N102" s="26"/>
    </row>
    <row r="103" spans="1:14" x14ac:dyDescent="0.25">
      <c r="A103" s="13">
        <v>14</v>
      </c>
      <c r="B103" s="70" t="s">
        <v>99</v>
      </c>
      <c r="C103" s="324" t="s">
        <v>48</v>
      </c>
      <c r="D103" s="325"/>
      <c r="E103" s="325"/>
      <c r="F103" s="325"/>
      <c r="G103" s="326"/>
      <c r="H103" s="26"/>
      <c r="I103" s="26"/>
      <c r="J103" s="26"/>
      <c r="K103" s="26"/>
      <c r="L103" s="26"/>
      <c r="M103" s="26"/>
      <c r="N103" s="26"/>
    </row>
    <row r="104" spans="1:14" x14ac:dyDescent="0.25">
      <c r="A104" s="234"/>
      <c r="B104" s="26"/>
      <c r="C104" s="84"/>
      <c r="D104" s="84"/>
      <c r="E104" s="84"/>
      <c r="F104" s="84"/>
      <c r="G104" s="84"/>
      <c r="H104" s="26"/>
      <c r="I104" s="26"/>
      <c r="J104" s="26"/>
      <c r="K104" s="26"/>
      <c r="L104" s="26"/>
      <c r="M104" s="26"/>
      <c r="N104" s="26"/>
    </row>
    <row r="105" spans="1:14" ht="12.75" customHeight="1" x14ac:dyDescent="0.25">
      <c r="A105" s="26"/>
      <c r="B105" s="374" t="s">
        <v>435</v>
      </c>
      <c r="C105" s="375"/>
      <c r="D105" s="375"/>
      <c r="E105" s="375"/>
      <c r="F105" s="375"/>
      <c r="G105" s="375"/>
      <c r="H105" s="375"/>
      <c r="I105" s="26"/>
      <c r="J105" s="26"/>
      <c r="K105" s="26"/>
      <c r="L105" s="26"/>
      <c r="M105" s="26"/>
      <c r="N105" s="26"/>
    </row>
    <row r="106" spans="1:14" x14ac:dyDescent="0.25">
      <c r="A106" s="26"/>
      <c r="I106" s="26"/>
      <c r="J106" s="26"/>
      <c r="K106" s="26"/>
      <c r="L106" s="26"/>
      <c r="M106" s="26"/>
      <c r="N106" s="26"/>
    </row>
    <row r="107" spans="1:14" x14ac:dyDescent="0.25">
      <c r="A107" s="26"/>
      <c r="J107" s="26"/>
      <c r="K107" s="26"/>
      <c r="L107" s="26"/>
      <c r="M107" s="26"/>
      <c r="N107" s="26"/>
    </row>
  </sheetData>
  <sheetProtection password="DB00" sheet="1" objects="1" scenarios="1"/>
  <mergeCells count="57">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53:B54"/>
    <mergeCell ref="C53:E54"/>
    <mergeCell ref="B33:E33"/>
    <mergeCell ref="B35:E35"/>
    <mergeCell ref="B39:C39"/>
    <mergeCell ref="B42:E42"/>
    <mergeCell ref="C43:E43"/>
    <mergeCell ref="C44:E44"/>
    <mergeCell ref="C45:E45"/>
    <mergeCell ref="B46:E46"/>
    <mergeCell ref="B48:E48"/>
    <mergeCell ref="B50:E50"/>
    <mergeCell ref="B52:E52"/>
    <mergeCell ref="B88:B92"/>
    <mergeCell ref="B93:B97"/>
    <mergeCell ref="B71:N71"/>
    <mergeCell ref="C55:E55"/>
    <mergeCell ref="C56:E56"/>
    <mergeCell ref="B57:E57"/>
    <mergeCell ref="C59:E59"/>
    <mergeCell ref="B65:B66"/>
    <mergeCell ref="C65:C66"/>
    <mergeCell ref="D65:D66"/>
    <mergeCell ref="E65:E66"/>
    <mergeCell ref="F65:H65"/>
    <mergeCell ref="I65:K65"/>
    <mergeCell ref="L65:N65"/>
    <mergeCell ref="B69:N69"/>
    <mergeCell ref="B70:N70"/>
    <mergeCell ref="B72:N72"/>
    <mergeCell ref="B73:N73"/>
    <mergeCell ref="B75:G75"/>
    <mergeCell ref="B78:B82"/>
    <mergeCell ref="B83:B87"/>
    <mergeCell ref="B105:H105"/>
    <mergeCell ref="B98:G98"/>
    <mergeCell ref="B99:G99"/>
    <mergeCell ref="B100:G100"/>
    <mergeCell ref="B101:G101"/>
    <mergeCell ref="C102:G102"/>
    <mergeCell ref="C103:G10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topLeftCell="A30" workbookViewId="0">
      <selection activeCell="A30" sqref="A30"/>
    </sheetView>
  </sheetViews>
  <sheetFormatPr defaultColWidth="8.85546875" defaultRowHeight="12.75" x14ac:dyDescent="0.25"/>
  <cols>
    <col min="1" max="1" width="8.85546875" style="73"/>
    <col min="2" max="2" width="40.28515625" style="73" customWidth="1"/>
    <col min="3" max="3" width="36.28515625" style="73" customWidth="1"/>
    <col min="4" max="4" width="18.71093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101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5</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102</v>
      </c>
      <c r="D8" s="9"/>
      <c r="E8" s="12"/>
      <c r="F8" s="12"/>
      <c r="G8" s="12"/>
      <c r="H8" s="12"/>
      <c r="I8" s="12"/>
      <c r="J8" s="12"/>
      <c r="K8" s="12"/>
      <c r="L8" s="12"/>
      <c r="M8" s="12"/>
      <c r="N8" s="12"/>
    </row>
    <row r="9" spans="1:25" ht="16.149999999999999" customHeight="1" x14ac:dyDescent="0.25">
      <c r="A9" s="13"/>
      <c r="B9" s="382" t="s">
        <v>6</v>
      </c>
      <c r="C9" s="382"/>
      <c r="D9" s="38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103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38.25" x14ac:dyDescent="0.25">
      <c r="A19" s="13"/>
      <c r="B19" s="18" t="s">
        <v>104</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25</v>
      </c>
      <c r="D28" s="22" t="s">
        <v>26</v>
      </c>
      <c r="E28" s="22" t="s">
        <v>27</v>
      </c>
      <c r="F28" s="19"/>
      <c r="G28" s="26"/>
      <c r="H28" s="26"/>
      <c r="I28" s="26"/>
      <c r="J28" s="26"/>
      <c r="K28" s="26"/>
      <c r="L28" s="26"/>
      <c r="M28" s="26"/>
      <c r="N28" s="26"/>
    </row>
    <row r="29" spans="1:14" x14ac:dyDescent="0.25">
      <c r="A29" s="13"/>
      <c r="B29" s="23" t="s">
        <v>28</v>
      </c>
      <c r="C29" s="24">
        <v>5156.6899999999996</v>
      </c>
      <c r="D29" s="25">
        <v>6313.58</v>
      </c>
      <c r="E29" s="25">
        <v>7894.24</v>
      </c>
      <c r="F29" s="19"/>
      <c r="G29" s="26"/>
      <c r="H29" s="26"/>
      <c r="I29" s="26"/>
      <c r="J29" s="26"/>
      <c r="K29" s="26"/>
      <c r="L29" s="26"/>
      <c r="M29" s="26"/>
      <c r="N29" s="26"/>
    </row>
    <row r="30" spans="1:14" x14ac:dyDescent="0.25">
      <c r="A30" s="13"/>
      <c r="B30" s="23" t="s">
        <v>29</v>
      </c>
      <c r="C30" s="24">
        <v>57.59</v>
      </c>
      <c r="D30" s="25">
        <v>61.41</v>
      </c>
      <c r="E30" s="25">
        <v>82.55</v>
      </c>
      <c r="F30" s="19"/>
      <c r="G30" s="26"/>
      <c r="H30" s="26"/>
      <c r="I30" s="26"/>
      <c r="J30" s="26"/>
      <c r="K30" s="26"/>
      <c r="L30" s="26"/>
      <c r="M30" s="26"/>
      <c r="N30" s="26"/>
    </row>
    <row r="31" spans="1:14" x14ac:dyDescent="0.25">
      <c r="A31" s="13"/>
      <c r="B31" s="23" t="s">
        <v>30</v>
      </c>
      <c r="C31" s="24">
        <v>269.22699999999998</v>
      </c>
      <c r="D31" s="25">
        <v>269.22699999999998</v>
      </c>
      <c r="E31" s="25">
        <v>269.22699999999998</v>
      </c>
      <c r="F31" s="19"/>
      <c r="G31" s="26"/>
      <c r="H31" s="26"/>
      <c r="I31" s="26"/>
      <c r="J31" s="26"/>
      <c r="K31" s="26"/>
      <c r="L31" s="26"/>
      <c r="M31" s="26"/>
      <c r="N31" s="26"/>
    </row>
    <row r="32" spans="1:14" x14ac:dyDescent="0.25">
      <c r="A32" s="13"/>
      <c r="B32" s="23" t="s">
        <v>31</v>
      </c>
      <c r="C32" s="24">
        <v>181.09</v>
      </c>
      <c r="D32" s="25">
        <v>242.5</v>
      </c>
      <c r="E32" s="25">
        <v>319.43</v>
      </c>
      <c r="F32" s="19"/>
      <c r="G32" s="26"/>
      <c r="H32" s="26"/>
      <c r="I32" s="26"/>
      <c r="J32" s="26"/>
      <c r="K32" s="26"/>
      <c r="L32" s="26"/>
      <c r="M32" s="26"/>
      <c r="N32" s="26"/>
    </row>
    <row r="33" spans="1:14" x14ac:dyDescent="0.25">
      <c r="A33" s="13"/>
      <c r="B33" s="353" t="s">
        <v>105</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367" t="s">
        <v>35</v>
      </c>
      <c r="D36" s="367"/>
      <c r="E36" s="367"/>
      <c r="F36" s="17"/>
      <c r="G36" s="26"/>
      <c r="H36" s="26"/>
      <c r="I36" s="26"/>
      <c r="J36" s="26"/>
      <c r="K36" s="26"/>
      <c r="L36" s="26"/>
      <c r="M36" s="26"/>
      <c r="N36" s="26"/>
    </row>
    <row r="37" spans="1:14" x14ac:dyDescent="0.25">
      <c r="A37" s="13"/>
      <c r="B37" s="21" t="s">
        <v>36</v>
      </c>
      <c r="C37" s="367" t="s">
        <v>35</v>
      </c>
      <c r="D37" s="367"/>
      <c r="E37" s="367"/>
      <c r="F37" s="17"/>
      <c r="G37" s="26"/>
      <c r="H37" s="26"/>
      <c r="I37" s="26"/>
      <c r="J37" s="26"/>
      <c r="K37" s="26"/>
      <c r="L37" s="26"/>
      <c r="M37" s="26"/>
      <c r="N37" s="26"/>
    </row>
    <row r="38" spans="1:14" x14ac:dyDescent="0.25">
      <c r="A38" s="13"/>
      <c r="B38" s="21" t="s">
        <v>37</v>
      </c>
      <c r="C38" s="367" t="s">
        <v>35</v>
      </c>
      <c r="D38" s="367"/>
      <c r="E38" s="367"/>
      <c r="F38" s="17"/>
      <c r="G38" s="26"/>
      <c r="H38" s="26"/>
      <c r="I38" s="26"/>
      <c r="J38" s="26"/>
      <c r="K38" s="26"/>
      <c r="L38" s="26"/>
      <c r="M38" s="26"/>
      <c r="N38" s="26"/>
    </row>
    <row r="39" spans="1:14" x14ac:dyDescent="0.25">
      <c r="A39" s="13"/>
      <c r="B39" s="368" t="s">
        <v>21</v>
      </c>
      <c r="C39" s="368"/>
      <c r="D39" s="368"/>
      <c r="E39" s="368"/>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106</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45</v>
      </c>
      <c r="F49" s="26"/>
      <c r="G49" s="26"/>
      <c r="H49" s="26"/>
      <c r="I49" s="26"/>
      <c r="J49" s="26"/>
      <c r="K49" s="26"/>
      <c r="L49" s="26"/>
      <c r="M49" s="26"/>
    </row>
    <row r="50" spans="1:14" ht="51" x14ac:dyDescent="0.25">
      <c r="A50" s="34"/>
      <c r="B50" s="35" t="s">
        <v>46</v>
      </c>
      <c r="C50" s="35" t="s">
        <v>108</v>
      </c>
      <c r="D50" s="35" t="s">
        <v>108</v>
      </c>
      <c r="E50" s="6" t="s">
        <v>48</v>
      </c>
      <c r="F50" s="26"/>
      <c r="G50" s="26"/>
      <c r="H50" s="26"/>
      <c r="I50" s="26"/>
      <c r="J50" s="26"/>
      <c r="K50" s="26"/>
      <c r="L50" s="26"/>
      <c r="M50" s="26"/>
    </row>
    <row r="51" spans="1:14" x14ac:dyDescent="0.25">
      <c r="A51" s="36"/>
      <c r="B51" s="345" t="s">
        <v>109</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49</v>
      </c>
      <c r="C53" s="356"/>
      <c r="D53" s="356"/>
      <c r="E53" s="356"/>
      <c r="F53" s="19"/>
      <c r="G53" s="19"/>
      <c r="H53" s="19"/>
      <c r="I53" s="26"/>
      <c r="J53" s="26"/>
      <c r="K53" s="26"/>
      <c r="L53" s="26"/>
      <c r="M53" s="26"/>
    </row>
    <row r="54" spans="1:14" x14ac:dyDescent="0.2">
      <c r="A54" s="34"/>
      <c r="B54" s="357" t="s">
        <v>50</v>
      </c>
      <c r="C54" s="360" t="s">
        <v>110</v>
      </c>
      <c r="D54" s="361"/>
      <c r="E54" s="362"/>
      <c r="F54" s="26"/>
      <c r="G54" s="26"/>
      <c r="H54" s="26"/>
      <c r="I54" s="26"/>
      <c r="J54" s="26"/>
      <c r="K54" s="2"/>
      <c r="L54" s="26"/>
      <c r="M54" s="26"/>
    </row>
    <row r="55" spans="1:14" x14ac:dyDescent="0.25">
      <c r="A55" s="34"/>
      <c r="B55" s="359"/>
      <c r="C55" s="341" t="s">
        <v>111</v>
      </c>
      <c r="D55" s="342"/>
      <c r="E55" s="343"/>
      <c r="F55" s="26"/>
      <c r="G55" s="26"/>
      <c r="H55" s="26"/>
      <c r="I55" s="26"/>
      <c r="J55" s="26"/>
      <c r="K55" s="2"/>
      <c r="L55" s="26"/>
      <c r="M55" s="26"/>
    </row>
    <row r="56" spans="1:14" x14ac:dyDescent="0.2">
      <c r="A56" s="29"/>
      <c r="B56" s="39" t="s">
        <v>54</v>
      </c>
      <c r="C56" s="360" t="s">
        <v>110</v>
      </c>
      <c r="D56" s="361"/>
      <c r="E56" s="362"/>
      <c r="F56" s="26"/>
      <c r="G56" s="26"/>
      <c r="H56" s="26"/>
      <c r="I56" s="26"/>
      <c r="J56" s="26"/>
      <c r="K56" s="12"/>
      <c r="L56" s="26"/>
      <c r="M56" s="26"/>
    </row>
    <row r="57" spans="1:14" x14ac:dyDescent="0.25">
      <c r="A57" s="34"/>
      <c r="B57" s="39"/>
      <c r="C57" s="341" t="s">
        <v>111</v>
      </c>
      <c r="D57" s="342"/>
      <c r="E57" s="343"/>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112</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113</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114</v>
      </c>
      <c r="D69" s="372" t="s">
        <v>115</v>
      </c>
      <c r="E69" s="336" t="s">
        <v>116</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75</v>
      </c>
      <c r="C71" s="53">
        <v>17.3</v>
      </c>
      <c r="D71" s="53">
        <v>19.100000000000001</v>
      </c>
      <c r="E71" s="54">
        <v>16.5</v>
      </c>
      <c r="F71" s="54">
        <v>16</v>
      </c>
      <c r="G71" s="54">
        <v>20</v>
      </c>
      <c r="H71" s="53">
        <v>16</v>
      </c>
      <c r="I71" s="53">
        <v>26</v>
      </c>
      <c r="J71" s="53">
        <v>40</v>
      </c>
      <c r="K71" s="53">
        <v>15.9</v>
      </c>
      <c r="L71" s="53">
        <v>29.15</v>
      </c>
      <c r="M71" s="53">
        <v>53.65</v>
      </c>
      <c r="N71" s="53">
        <v>22</v>
      </c>
    </row>
    <row r="72" spans="1:14" ht="25.5" x14ac:dyDescent="0.2">
      <c r="A72" s="4"/>
      <c r="B72" s="21" t="s">
        <v>76</v>
      </c>
      <c r="C72" s="55">
        <v>27661.4</v>
      </c>
      <c r="D72" s="77">
        <v>28101.72</v>
      </c>
      <c r="E72" s="78">
        <v>27035.85</v>
      </c>
      <c r="F72" s="53">
        <v>25341.86</v>
      </c>
      <c r="G72" s="53">
        <v>29094.61</v>
      </c>
      <c r="H72" s="53">
        <v>22494.61</v>
      </c>
      <c r="I72" s="53">
        <v>29620.5</v>
      </c>
      <c r="J72" s="53">
        <v>28351.62</v>
      </c>
      <c r="K72" s="53">
        <v>28152.400000000001</v>
      </c>
      <c r="L72" s="54">
        <v>32968.68</v>
      </c>
      <c r="M72" s="54">
        <v>36443.980000000003</v>
      </c>
      <c r="N72" s="56">
        <v>29241.48</v>
      </c>
    </row>
    <row r="73" spans="1:14" x14ac:dyDescent="0.2">
      <c r="A73" s="4"/>
      <c r="B73" s="27" t="s">
        <v>77</v>
      </c>
      <c r="C73" s="55">
        <v>846.43</v>
      </c>
      <c r="D73" s="55">
        <v>872.48</v>
      </c>
      <c r="E73" s="55">
        <v>806.81</v>
      </c>
      <c r="F73" s="53">
        <v>767.86</v>
      </c>
      <c r="G73" s="53">
        <v>948</v>
      </c>
      <c r="H73" s="53">
        <v>731.23</v>
      </c>
      <c r="I73" s="53">
        <v>1288.8800000000001</v>
      </c>
      <c r="J73" s="53">
        <v>1244.32</v>
      </c>
      <c r="K73" s="53">
        <v>930.3</v>
      </c>
      <c r="L73" s="54" t="s">
        <v>48</v>
      </c>
      <c r="M73" s="54" t="s">
        <v>48</v>
      </c>
      <c r="N73" s="54" t="s">
        <v>48</v>
      </c>
    </row>
    <row r="74" spans="1:14" x14ac:dyDescent="0.25">
      <c r="A74" s="4"/>
      <c r="B74" s="382" t="s">
        <v>78</v>
      </c>
      <c r="C74" s="382"/>
      <c r="D74" s="382"/>
      <c r="E74" s="382"/>
      <c r="F74" s="382"/>
      <c r="G74" s="382"/>
      <c r="H74" s="382"/>
      <c r="I74" s="382"/>
      <c r="J74" s="382"/>
      <c r="K74" s="382"/>
      <c r="L74" s="382"/>
      <c r="M74" s="382"/>
      <c r="N74" s="382"/>
    </row>
    <row r="75" spans="1:14" ht="13.5" x14ac:dyDescent="0.25">
      <c r="A75" s="4"/>
      <c r="B75" s="383" t="s">
        <v>21</v>
      </c>
      <c r="C75" s="383"/>
      <c r="D75" s="383"/>
      <c r="E75" s="383"/>
      <c r="F75" s="383"/>
      <c r="G75" s="383"/>
      <c r="H75" s="383"/>
      <c r="I75" s="383"/>
      <c r="J75" s="383"/>
      <c r="K75" s="383"/>
      <c r="L75" s="383"/>
      <c r="M75" s="383"/>
      <c r="N75" s="383"/>
    </row>
    <row r="76" spans="1:14" x14ac:dyDescent="0.25">
      <c r="A76" s="4"/>
      <c r="B76" s="382" t="s">
        <v>79</v>
      </c>
      <c r="C76" s="382"/>
      <c r="D76" s="382"/>
      <c r="E76" s="382"/>
      <c r="F76" s="382"/>
      <c r="G76" s="382"/>
      <c r="H76" s="382"/>
      <c r="I76" s="382"/>
      <c r="J76" s="382"/>
      <c r="K76" s="382"/>
      <c r="L76" s="382"/>
      <c r="M76" s="382"/>
      <c r="N76" s="382"/>
    </row>
    <row r="77" spans="1:14" s="57" customFormat="1" x14ac:dyDescent="0.25">
      <c r="B77" s="382" t="s">
        <v>80</v>
      </c>
      <c r="C77" s="382"/>
      <c r="D77" s="382"/>
      <c r="E77" s="382"/>
      <c r="F77" s="382"/>
      <c r="G77" s="382"/>
      <c r="H77" s="382"/>
      <c r="I77" s="382"/>
      <c r="J77" s="382"/>
      <c r="K77" s="382"/>
      <c r="L77" s="382"/>
      <c r="M77" s="382"/>
      <c r="N77" s="382"/>
    </row>
    <row r="78" spans="1:14" x14ac:dyDescent="0.25">
      <c r="A78" s="4"/>
      <c r="B78" s="382" t="s">
        <v>117</v>
      </c>
      <c r="C78" s="382"/>
      <c r="D78" s="382"/>
      <c r="E78" s="382"/>
      <c r="F78" s="382"/>
      <c r="G78" s="382"/>
      <c r="H78" s="382"/>
      <c r="I78" s="382"/>
      <c r="J78" s="382"/>
      <c r="K78" s="382"/>
      <c r="L78" s="382"/>
      <c r="M78" s="382"/>
      <c r="N78" s="382"/>
    </row>
    <row r="79" spans="1:14" x14ac:dyDescent="0.25">
      <c r="A79" s="4"/>
      <c r="B79" s="382" t="s">
        <v>82</v>
      </c>
      <c r="C79" s="382"/>
      <c r="D79" s="382"/>
      <c r="E79" s="382"/>
      <c r="F79" s="382"/>
      <c r="G79" s="382"/>
      <c r="H79" s="382"/>
      <c r="I79" s="382"/>
      <c r="J79" s="382"/>
      <c r="K79" s="382"/>
      <c r="L79" s="382"/>
      <c r="M79" s="382"/>
      <c r="N79" s="382"/>
    </row>
    <row r="80" spans="1:14" x14ac:dyDescent="0.25">
      <c r="A80" s="4"/>
      <c r="B80" s="58"/>
      <c r="C80" s="58"/>
      <c r="D80" s="58"/>
      <c r="E80" s="58"/>
      <c r="F80" s="58"/>
      <c r="G80" s="17"/>
      <c r="H80" s="17"/>
      <c r="I80" s="17"/>
      <c r="J80" s="17"/>
      <c r="K80" s="17"/>
      <c r="L80" s="17"/>
      <c r="M80" s="17"/>
      <c r="N80" s="17"/>
    </row>
    <row r="81" spans="1:14" x14ac:dyDescent="0.25">
      <c r="A81" s="13">
        <v>13</v>
      </c>
      <c r="B81" s="338" t="s">
        <v>83</v>
      </c>
      <c r="C81" s="339"/>
      <c r="D81" s="339"/>
      <c r="E81" s="339"/>
      <c r="F81" s="339"/>
      <c r="G81" s="340"/>
      <c r="H81" s="15"/>
      <c r="I81" s="15"/>
      <c r="J81" s="15"/>
      <c r="K81" s="15"/>
      <c r="L81" s="15"/>
      <c r="M81" s="15"/>
      <c r="N81" s="15"/>
    </row>
    <row r="82" spans="1:14" x14ac:dyDescent="0.25">
      <c r="A82" s="13"/>
      <c r="B82" s="26"/>
      <c r="C82" s="19"/>
      <c r="D82" s="19"/>
      <c r="E82" s="19"/>
      <c r="F82" s="19"/>
      <c r="G82" s="19"/>
      <c r="H82" s="19"/>
      <c r="I82" s="19"/>
      <c r="J82" s="19"/>
      <c r="K82" s="19"/>
      <c r="L82" s="19"/>
      <c r="M82" s="19"/>
      <c r="N82" s="19"/>
    </row>
    <row r="83" spans="1:14" ht="76.5" x14ac:dyDescent="0.25">
      <c r="A83" s="4"/>
      <c r="B83" s="59" t="s">
        <v>84</v>
      </c>
      <c r="C83" s="22" t="s">
        <v>85</v>
      </c>
      <c r="D83" s="22" t="s">
        <v>118</v>
      </c>
      <c r="E83" s="22" t="s">
        <v>87</v>
      </c>
      <c r="F83" s="22" t="s">
        <v>88</v>
      </c>
      <c r="G83" s="22" t="s">
        <v>119</v>
      </c>
      <c r="H83" s="17"/>
      <c r="I83" s="17"/>
      <c r="J83" s="17"/>
      <c r="K83" s="17"/>
      <c r="L83" s="17"/>
      <c r="M83" s="17"/>
      <c r="N83" s="17"/>
    </row>
    <row r="84" spans="1:14" ht="25.5" customHeight="1" x14ac:dyDescent="0.2">
      <c r="A84" s="4"/>
      <c r="B84" s="316" t="s">
        <v>90</v>
      </c>
      <c r="C84" s="5" t="s">
        <v>120</v>
      </c>
      <c r="D84" s="79">
        <v>1.46</v>
      </c>
      <c r="E84" s="61">
        <v>2.14</v>
      </c>
      <c r="F84" s="80">
        <v>2.2799999999999998</v>
      </c>
      <c r="G84" s="61">
        <v>3.07</v>
      </c>
      <c r="H84" s="62"/>
      <c r="I84" s="62"/>
      <c r="J84" s="62"/>
      <c r="K84" s="62"/>
      <c r="L84" s="62"/>
      <c r="M84" s="62"/>
      <c r="N84" s="62"/>
    </row>
    <row r="85" spans="1:14" x14ac:dyDescent="0.25">
      <c r="A85" s="4"/>
      <c r="B85" s="316"/>
      <c r="C85" s="5" t="s">
        <v>92</v>
      </c>
      <c r="D85" s="63"/>
      <c r="E85" s="61"/>
      <c r="F85" s="80"/>
      <c r="G85" s="61"/>
      <c r="H85" s="62"/>
      <c r="I85" s="62"/>
      <c r="J85" s="62"/>
      <c r="K85" s="62"/>
      <c r="L85" s="62"/>
      <c r="M85" s="62"/>
      <c r="N85" s="62"/>
    </row>
    <row r="86" spans="1:14" x14ac:dyDescent="0.2">
      <c r="A86" s="4"/>
      <c r="B86" s="316"/>
      <c r="C86" s="77" t="s">
        <v>121</v>
      </c>
      <c r="D86" s="63">
        <v>11.9</v>
      </c>
      <c r="E86" s="61">
        <v>23.6</v>
      </c>
      <c r="F86" s="80">
        <v>19.48</v>
      </c>
      <c r="G86" s="61">
        <v>10.53</v>
      </c>
      <c r="H86" s="62"/>
      <c r="I86" s="62"/>
      <c r="J86" s="62"/>
      <c r="K86" s="62"/>
      <c r="L86" s="62"/>
      <c r="M86" s="62"/>
      <c r="N86" s="62"/>
    </row>
    <row r="87" spans="1:14" x14ac:dyDescent="0.2">
      <c r="A87" s="4"/>
      <c r="B87" s="316"/>
      <c r="C87" s="77" t="s">
        <v>122</v>
      </c>
      <c r="D87" s="63">
        <v>1.2</v>
      </c>
      <c r="E87" s="81" t="s">
        <v>123</v>
      </c>
      <c r="F87" s="80">
        <v>0.11</v>
      </c>
      <c r="G87" s="61">
        <v>1.86</v>
      </c>
      <c r="H87" s="62"/>
      <c r="I87" s="62"/>
      <c r="J87" s="62"/>
      <c r="K87" s="62"/>
      <c r="L87" s="62"/>
      <c r="M87" s="62"/>
      <c r="N87" s="62"/>
    </row>
    <row r="88" spans="1:14" x14ac:dyDescent="0.2">
      <c r="A88" s="4"/>
      <c r="B88" s="316"/>
      <c r="C88" s="77" t="s">
        <v>124</v>
      </c>
      <c r="D88" s="63">
        <v>13.6</v>
      </c>
      <c r="E88" s="61">
        <v>9.16</v>
      </c>
      <c r="F88" s="80">
        <v>7.39</v>
      </c>
      <c r="G88" s="61">
        <v>6.71</v>
      </c>
      <c r="H88" s="62"/>
      <c r="I88" s="62"/>
      <c r="J88" s="62"/>
      <c r="K88" s="62"/>
      <c r="L88" s="62"/>
      <c r="M88" s="62"/>
      <c r="N88" s="62"/>
    </row>
    <row r="89" spans="1:14" x14ac:dyDescent="0.2">
      <c r="A89" s="4"/>
      <c r="B89" s="316"/>
      <c r="C89" s="5" t="s">
        <v>93</v>
      </c>
      <c r="D89" s="79" t="s">
        <v>48</v>
      </c>
      <c r="E89" s="61" t="s">
        <v>125</v>
      </c>
      <c r="F89" s="80"/>
      <c r="G89" s="61"/>
      <c r="H89" s="62"/>
      <c r="I89" s="62"/>
      <c r="J89" s="62"/>
      <c r="K89" s="62"/>
      <c r="L89" s="62"/>
      <c r="M89" s="62"/>
      <c r="N89" s="62"/>
    </row>
    <row r="90" spans="1:14" ht="25.5" x14ac:dyDescent="0.2">
      <c r="A90" s="4"/>
      <c r="B90" s="316" t="s">
        <v>94</v>
      </c>
      <c r="C90" s="5" t="s">
        <v>120</v>
      </c>
      <c r="D90" s="79">
        <v>10.96</v>
      </c>
      <c r="E90" s="61">
        <v>7.48</v>
      </c>
      <c r="F90" s="80">
        <v>11.4</v>
      </c>
      <c r="G90" s="64">
        <f>29.15/3.07</f>
        <v>9.4951140065146582</v>
      </c>
      <c r="H90" s="62"/>
      <c r="I90" s="62"/>
      <c r="J90" s="62"/>
      <c r="K90" s="62"/>
      <c r="L90" s="62"/>
      <c r="M90" s="62"/>
      <c r="N90" s="62"/>
    </row>
    <row r="91" spans="1:14" x14ac:dyDescent="0.2">
      <c r="A91" s="4"/>
      <c r="B91" s="316"/>
      <c r="C91" s="5" t="s">
        <v>92</v>
      </c>
      <c r="D91" s="79"/>
      <c r="E91" s="61"/>
      <c r="F91" s="80"/>
      <c r="G91" s="61"/>
      <c r="H91" s="62"/>
      <c r="I91" s="62"/>
      <c r="J91" s="62"/>
      <c r="K91" s="62"/>
      <c r="L91" s="62"/>
      <c r="M91" s="62"/>
      <c r="N91" s="62"/>
    </row>
    <row r="92" spans="1:14" x14ac:dyDescent="0.2">
      <c r="A92" s="4"/>
      <c r="B92" s="316"/>
      <c r="C92" s="82" t="s">
        <v>121</v>
      </c>
      <c r="D92" s="79">
        <v>30.9</v>
      </c>
      <c r="E92" s="61">
        <v>18.5</v>
      </c>
      <c r="F92" s="80">
        <v>15.71</v>
      </c>
      <c r="G92" s="64">
        <f>224.25/3.07</f>
        <v>73.045602605863195</v>
      </c>
      <c r="H92" s="62"/>
      <c r="I92" s="62"/>
      <c r="J92" s="62"/>
      <c r="K92" s="62"/>
      <c r="L92" s="62"/>
      <c r="M92" s="62"/>
      <c r="N92" s="62"/>
    </row>
    <row r="93" spans="1:14" x14ac:dyDescent="0.2">
      <c r="A93" s="4"/>
      <c r="B93" s="316"/>
      <c r="C93" s="82" t="s">
        <v>122</v>
      </c>
      <c r="D93" s="83" t="s">
        <v>126</v>
      </c>
      <c r="E93" s="81" t="s">
        <v>123</v>
      </c>
      <c r="F93" s="80">
        <v>218.36</v>
      </c>
      <c r="G93" s="64">
        <f>23.25/1.86</f>
        <v>12.5</v>
      </c>
      <c r="H93" s="62"/>
      <c r="I93" s="62"/>
      <c r="J93" s="62"/>
      <c r="K93" s="62"/>
      <c r="L93" s="62"/>
      <c r="M93" s="62"/>
      <c r="N93" s="62"/>
    </row>
    <row r="94" spans="1:14" x14ac:dyDescent="0.2">
      <c r="A94" s="4"/>
      <c r="B94" s="316"/>
      <c r="C94" s="82" t="s">
        <v>124</v>
      </c>
      <c r="D94" s="79">
        <v>32.1</v>
      </c>
      <c r="E94" s="61">
        <v>14.56</v>
      </c>
      <c r="F94" s="80">
        <v>22.86</v>
      </c>
      <c r="G94" s="64">
        <f>175/6.71</f>
        <v>26.08047690014903</v>
      </c>
      <c r="H94" s="62"/>
      <c r="I94" s="62"/>
      <c r="J94" s="62"/>
      <c r="K94" s="62"/>
      <c r="L94" s="62"/>
      <c r="M94" s="62"/>
      <c r="N94" s="62"/>
    </row>
    <row r="95" spans="1:14" x14ac:dyDescent="0.2">
      <c r="A95" s="4"/>
      <c r="B95" s="316"/>
      <c r="C95" s="5" t="s">
        <v>93</v>
      </c>
      <c r="D95" s="79" t="s">
        <v>48</v>
      </c>
      <c r="E95" s="61" t="s">
        <v>48</v>
      </c>
      <c r="F95" s="80"/>
      <c r="G95" s="61"/>
      <c r="H95" s="62"/>
      <c r="I95" s="62"/>
      <c r="J95" s="62"/>
      <c r="K95" s="62"/>
      <c r="L95" s="62"/>
      <c r="M95" s="62"/>
      <c r="N95" s="62"/>
    </row>
    <row r="96" spans="1:14" ht="25.5" x14ac:dyDescent="0.2">
      <c r="A96" s="4"/>
      <c r="B96" s="316" t="s">
        <v>95</v>
      </c>
      <c r="C96" s="5" t="s">
        <v>120</v>
      </c>
      <c r="D96" s="79">
        <v>10.86</v>
      </c>
      <c r="E96" s="61">
        <v>12.79</v>
      </c>
      <c r="F96" s="80">
        <v>12</v>
      </c>
      <c r="G96" s="65">
        <f>8255496/58865781</f>
        <v>0.14024269889496582</v>
      </c>
      <c r="H96" s="62"/>
      <c r="I96" s="62"/>
      <c r="J96" s="62"/>
      <c r="K96" s="62"/>
      <c r="L96" s="62"/>
      <c r="M96" s="62"/>
      <c r="N96" s="62"/>
    </row>
    <row r="97" spans="1:14" x14ac:dyDescent="0.2">
      <c r="A97" s="4"/>
      <c r="B97" s="316"/>
      <c r="C97" s="5" t="s">
        <v>92</v>
      </c>
      <c r="D97" s="79"/>
      <c r="E97" s="61"/>
      <c r="F97" s="80"/>
      <c r="G97" s="61"/>
      <c r="H97" s="62"/>
      <c r="I97" s="62"/>
      <c r="J97" s="62"/>
      <c r="K97" s="62"/>
      <c r="L97" s="62"/>
      <c r="M97" s="62"/>
      <c r="N97" s="62"/>
    </row>
    <row r="98" spans="1:14" x14ac:dyDescent="0.2">
      <c r="A98" s="4"/>
      <c r="B98" s="316"/>
      <c r="C98" s="82" t="s">
        <v>121</v>
      </c>
      <c r="D98" s="79">
        <v>38.700000000000003</v>
      </c>
      <c r="E98" s="61">
        <v>30.5</v>
      </c>
      <c r="F98" s="80">
        <v>20.309999999999999</v>
      </c>
      <c r="G98" s="65">
        <f>7075.13/51621</f>
        <v>0.13705914259700511</v>
      </c>
      <c r="H98" s="62"/>
      <c r="I98" s="62"/>
      <c r="J98" s="62"/>
      <c r="K98" s="62"/>
      <c r="L98" s="62"/>
      <c r="M98" s="62"/>
      <c r="N98" s="62"/>
    </row>
    <row r="99" spans="1:14" x14ac:dyDescent="0.2">
      <c r="A99" s="4"/>
      <c r="B99" s="316"/>
      <c r="C99" s="82" t="s">
        <v>122</v>
      </c>
      <c r="D99" s="83" t="s">
        <v>126</v>
      </c>
      <c r="E99" s="81" t="s">
        <v>126</v>
      </c>
      <c r="F99" s="80">
        <v>0.51</v>
      </c>
      <c r="G99" s="65">
        <f>552.03/7046.4</f>
        <v>7.8342132152588562E-2</v>
      </c>
      <c r="H99" s="62"/>
      <c r="I99" s="62"/>
      <c r="J99" s="62"/>
      <c r="K99" s="62"/>
      <c r="L99" s="62"/>
      <c r="M99" s="62"/>
      <c r="N99" s="62"/>
    </row>
    <row r="100" spans="1:14" x14ac:dyDescent="0.2">
      <c r="A100" s="4"/>
      <c r="B100" s="316"/>
      <c r="C100" s="82" t="s">
        <v>124</v>
      </c>
      <c r="D100" s="79">
        <v>31.9</v>
      </c>
      <c r="E100" s="61">
        <v>20.71</v>
      </c>
      <c r="F100" s="80">
        <v>14.44</v>
      </c>
      <c r="G100" s="65">
        <f>25.19/204.03</f>
        <v>0.12346223594569426</v>
      </c>
      <c r="H100" s="62"/>
      <c r="I100" s="62"/>
      <c r="J100" s="62"/>
      <c r="K100" s="62"/>
      <c r="L100" s="62"/>
      <c r="M100" s="62"/>
      <c r="N100" s="62"/>
    </row>
    <row r="101" spans="1:14" x14ac:dyDescent="0.2">
      <c r="A101" s="4"/>
      <c r="B101" s="316"/>
      <c r="C101" s="5" t="s">
        <v>93</v>
      </c>
      <c r="D101" s="79" t="s">
        <v>48</v>
      </c>
      <c r="E101" s="61"/>
      <c r="F101" s="80"/>
      <c r="G101" s="61"/>
      <c r="H101" s="62"/>
      <c r="I101" s="62"/>
      <c r="J101" s="62"/>
      <c r="K101" s="66"/>
      <c r="L101" s="62"/>
      <c r="M101" s="62"/>
      <c r="N101" s="62"/>
    </row>
    <row r="102" spans="1:14" ht="25.5" x14ac:dyDescent="0.2">
      <c r="A102" s="4"/>
      <c r="B102" s="67" t="s">
        <v>96</v>
      </c>
      <c r="C102" s="5" t="s">
        <v>120</v>
      </c>
      <c r="D102" s="79">
        <v>13.43</v>
      </c>
      <c r="E102" s="61">
        <v>16.73</v>
      </c>
      <c r="F102" s="80">
        <v>19.010000000000002</v>
      </c>
      <c r="G102" s="64">
        <f>58865781/2692270</f>
        <v>21.86473904920383</v>
      </c>
      <c r="H102" s="62"/>
      <c r="I102" s="62"/>
      <c r="J102" s="62"/>
      <c r="K102" s="62"/>
      <c r="L102" s="62"/>
      <c r="M102" s="62"/>
      <c r="N102" s="62"/>
    </row>
    <row r="103" spans="1:14" x14ac:dyDescent="0.2">
      <c r="A103" s="4"/>
      <c r="B103" s="69"/>
      <c r="C103" s="5" t="s">
        <v>92</v>
      </c>
      <c r="D103" s="79"/>
      <c r="E103" s="61"/>
      <c r="F103" s="80"/>
      <c r="G103" s="61"/>
      <c r="H103" s="62"/>
      <c r="I103" s="62"/>
      <c r="J103" s="62"/>
      <c r="K103" s="62"/>
      <c r="L103" s="62"/>
      <c r="M103" s="62"/>
      <c r="N103" s="62"/>
    </row>
    <row r="104" spans="1:14" x14ac:dyDescent="0.2">
      <c r="A104" s="4"/>
      <c r="B104" s="69"/>
      <c r="C104" s="82" t="s">
        <v>121</v>
      </c>
      <c r="D104" s="79">
        <v>31.48</v>
      </c>
      <c r="E104" s="61">
        <v>77.34</v>
      </c>
      <c r="F104" s="80">
        <v>95.93</v>
      </c>
      <c r="G104" s="64">
        <f>51621/665</f>
        <v>77.625563909774442</v>
      </c>
      <c r="H104" s="62"/>
      <c r="I104" s="62"/>
      <c r="J104" s="62"/>
      <c r="K104" s="62"/>
      <c r="L104" s="62"/>
      <c r="M104" s="62"/>
      <c r="N104" s="62"/>
    </row>
    <row r="105" spans="1:14" x14ac:dyDescent="0.2">
      <c r="A105" s="4"/>
      <c r="B105" s="69"/>
      <c r="C105" s="82" t="s">
        <v>122</v>
      </c>
      <c r="D105" s="79">
        <v>9.5</v>
      </c>
      <c r="E105" s="61">
        <v>21.91</v>
      </c>
      <c r="F105" s="80">
        <v>22.02</v>
      </c>
      <c r="G105" s="64">
        <f>7046.4/290</f>
        <v>24.297931034482758</v>
      </c>
      <c r="H105" s="62"/>
      <c r="I105" s="62"/>
      <c r="J105" s="62"/>
      <c r="K105" s="62"/>
      <c r="L105" s="62"/>
      <c r="M105" s="62"/>
      <c r="N105" s="62"/>
    </row>
    <row r="106" spans="1:14" x14ac:dyDescent="0.2">
      <c r="A106" s="4"/>
      <c r="B106" s="69"/>
      <c r="C106" s="82" t="s">
        <v>124</v>
      </c>
      <c r="D106" s="79">
        <v>154.80000000000001</v>
      </c>
      <c r="E106" s="61">
        <v>44.21</v>
      </c>
      <c r="F106" s="80">
        <v>50.33</v>
      </c>
      <c r="G106" s="64">
        <f>204.03/3.795</f>
        <v>53.762845849802375</v>
      </c>
      <c r="H106" s="62"/>
      <c r="I106" s="62"/>
      <c r="J106" s="62"/>
      <c r="K106" s="62"/>
      <c r="L106" s="62"/>
      <c r="M106" s="62"/>
      <c r="N106" s="62"/>
    </row>
    <row r="107" spans="1:14" x14ac:dyDescent="0.2">
      <c r="A107" s="4"/>
      <c r="B107" s="69"/>
      <c r="C107" s="5" t="s">
        <v>93</v>
      </c>
      <c r="D107" s="79" t="s">
        <v>48</v>
      </c>
      <c r="E107" s="64">
        <f>E104+E105+E106/3</f>
        <v>113.98666666666666</v>
      </c>
      <c r="F107" s="80"/>
      <c r="G107" s="80"/>
      <c r="H107" s="62"/>
      <c r="I107" s="62"/>
      <c r="J107" s="62"/>
      <c r="K107" s="62"/>
      <c r="L107" s="62"/>
      <c r="M107" s="62"/>
      <c r="N107" s="62"/>
    </row>
    <row r="108" spans="1:14" x14ac:dyDescent="0.25">
      <c r="A108" s="4"/>
      <c r="B108" s="376" t="s">
        <v>127</v>
      </c>
      <c r="C108" s="377"/>
      <c r="D108" s="377"/>
      <c r="E108" s="377"/>
      <c r="F108" s="377"/>
      <c r="G108" s="378"/>
      <c r="H108" s="62"/>
      <c r="I108" s="62"/>
      <c r="J108" s="62"/>
      <c r="K108" s="62"/>
      <c r="L108" s="62"/>
      <c r="M108" s="62"/>
      <c r="N108" s="62"/>
    </row>
    <row r="109" spans="1:14" x14ac:dyDescent="0.25">
      <c r="A109" s="4"/>
      <c r="B109" s="379" t="s">
        <v>128</v>
      </c>
      <c r="C109" s="380"/>
      <c r="D109" s="380"/>
      <c r="E109" s="380"/>
      <c r="F109" s="380"/>
      <c r="G109" s="381"/>
      <c r="H109" s="62"/>
      <c r="I109" s="62"/>
      <c r="J109" s="62"/>
      <c r="K109" s="62"/>
      <c r="L109" s="62"/>
      <c r="M109" s="62"/>
      <c r="N109" s="62"/>
    </row>
    <row r="110" spans="1:14" x14ac:dyDescent="0.25">
      <c r="A110" s="4"/>
      <c r="B110" s="353"/>
      <c r="C110" s="354"/>
      <c r="D110" s="354"/>
      <c r="E110" s="354"/>
      <c r="F110" s="354"/>
      <c r="G110" s="355"/>
      <c r="H110" s="62"/>
      <c r="I110" s="62"/>
      <c r="J110" s="62"/>
      <c r="K110" s="62"/>
      <c r="L110" s="62"/>
      <c r="M110" s="62"/>
      <c r="N110" s="62"/>
    </row>
    <row r="111" spans="1:14" x14ac:dyDescent="0.25">
      <c r="A111" s="26"/>
      <c r="B111" s="12"/>
      <c r="C111" s="323"/>
      <c r="D111" s="323"/>
      <c r="E111" s="323"/>
      <c r="F111" s="323"/>
      <c r="G111" s="323"/>
      <c r="H111" s="62"/>
      <c r="I111" s="62"/>
      <c r="J111" s="26"/>
      <c r="K111" s="26"/>
      <c r="L111" s="26"/>
      <c r="M111" s="26"/>
      <c r="N111" s="26"/>
    </row>
    <row r="112" spans="1:14" x14ac:dyDescent="0.25">
      <c r="A112" s="13">
        <v>14</v>
      </c>
      <c r="B112" s="70" t="s">
        <v>99</v>
      </c>
      <c r="C112" s="324" t="s">
        <v>16</v>
      </c>
      <c r="D112" s="325"/>
      <c r="E112" s="325"/>
      <c r="F112" s="325"/>
      <c r="G112" s="326"/>
      <c r="H112" s="26"/>
      <c r="I112" s="26"/>
      <c r="J112" s="26"/>
      <c r="K112" s="26"/>
      <c r="L112" s="26"/>
      <c r="M112" s="26"/>
      <c r="N112" s="26"/>
    </row>
    <row r="113" spans="1:14" x14ac:dyDescent="0.25">
      <c r="A113" s="71"/>
      <c r="B113" s="26"/>
      <c r="C113" s="84"/>
      <c r="D113" s="84"/>
      <c r="E113" s="84"/>
      <c r="F113" s="84"/>
      <c r="G113" s="84"/>
      <c r="H113" s="26"/>
      <c r="I113" s="26"/>
      <c r="J113" s="26"/>
      <c r="K113" s="26"/>
      <c r="L113" s="26"/>
      <c r="M113" s="26"/>
      <c r="N113" s="26"/>
    </row>
    <row r="114" spans="1:14" x14ac:dyDescent="0.25">
      <c r="A114" s="26"/>
      <c r="B114" s="374" t="s">
        <v>129</v>
      </c>
      <c r="C114" s="375"/>
      <c r="D114" s="375"/>
      <c r="E114" s="375"/>
      <c r="F114" s="375"/>
      <c r="G114" s="375"/>
      <c r="H114" s="375"/>
      <c r="I114" s="26"/>
      <c r="J114" s="26"/>
      <c r="K114" s="26"/>
      <c r="L114" s="26"/>
      <c r="M114" s="26"/>
      <c r="N114" s="26"/>
    </row>
    <row r="115" spans="1:14" x14ac:dyDescent="0.25">
      <c r="A115" s="26"/>
      <c r="B115" s="26"/>
      <c r="C115" s="26"/>
      <c r="D115" s="26"/>
      <c r="E115" s="26"/>
      <c r="F115" s="26"/>
      <c r="G115" s="26"/>
      <c r="H115" s="26"/>
      <c r="I115" s="26"/>
      <c r="J115" s="26"/>
      <c r="K115" s="26"/>
      <c r="L115" s="26"/>
      <c r="M115" s="26"/>
      <c r="N115" s="26"/>
    </row>
    <row r="116" spans="1:14" x14ac:dyDescent="0.25">
      <c r="A116" s="26"/>
      <c r="B116" s="26"/>
      <c r="C116" s="26"/>
      <c r="D116" s="26"/>
      <c r="E116" s="26"/>
      <c r="F116" s="26"/>
      <c r="G116" s="26"/>
      <c r="H116" s="26"/>
      <c r="I116" s="26"/>
      <c r="J116" s="26"/>
      <c r="K116" s="26"/>
      <c r="L116" s="26"/>
      <c r="M116" s="26"/>
      <c r="N116" s="26"/>
    </row>
  </sheetData>
  <sheetProtection password="E9DF" sheet="1" objects="1" scenarios="1"/>
  <mergeCells count="62">
    <mergeCell ref="C21:E21"/>
    <mergeCell ref="A1:B1"/>
    <mergeCell ref="C5:E5"/>
    <mergeCell ref="B6:D6"/>
    <mergeCell ref="B9:D9"/>
    <mergeCell ref="C11:E11"/>
    <mergeCell ref="B12:D12"/>
    <mergeCell ref="B15:C15"/>
    <mergeCell ref="B17:E17"/>
    <mergeCell ref="C18:E18"/>
    <mergeCell ref="C19:E19"/>
    <mergeCell ref="C20:E20"/>
    <mergeCell ref="C43:E43"/>
    <mergeCell ref="C22:E22"/>
    <mergeCell ref="B23:E23"/>
    <mergeCell ref="B26:E26"/>
    <mergeCell ref="B27:E27"/>
    <mergeCell ref="B33:E33"/>
    <mergeCell ref="B35:E35"/>
    <mergeCell ref="C36:E36"/>
    <mergeCell ref="C37:E37"/>
    <mergeCell ref="C38:E38"/>
    <mergeCell ref="B39:E39"/>
    <mergeCell ref="B42:E42"/>
    <mergeCell ref="C58:E58"/>
    <mergeCell ref="C44:E44"/>
    <mergeCell ref="C45:E45"/>
    <mergeCell ref="B46:E46"/>
    <mergeCell ref="B48:E48"/>
    <mergeCell ref="B51:E51"/>
    <mergeCell ref="B53:E53"/>
    <mergeCell ref="B54:B55"/>
    <mergeCell ref="C54:E54"/>
    <mergeCell ref="C55:E55"/>
    <mergeCell ref="C56:E56"/>
    <mergeCell ref="C57:E57"/>
    <mergeCell ref="B59:E59"/>
    <mergeCell ref="B60:E60"/>
    <mergeCell ref="C63:E63"/>
    <mergeCell ref="B69:B70"/>
    <mergeCell ref="C69:C70"/>
    <mergeCell ref="D69:D70"/>
    <mergeCell ref="E69:E70"/>
    <mergeCell ref="B90:B95"/>
    <mergeCell ref="F69:H69"/>
    <mergeCell ref="I69:K69"/>
    <mergeCell ref="L69:N69"/>
    <mergeCell ref="B74:N74"/>
    <mergeCell ref="B75:N75"/>
    <mergeCell ref="B76:N76"/>
    <mergeCell ref="B77:N77"/>
    <mergeCell ref="B78:N78"/>
    <mergeCell ref="B79:N79"/>
    <mergeCell ref="B81:G81"/>
    <mergeCell ref="B84:B89"/>
    <mergeCell ref="B114:H114"/>
    <mergeCell ref="B96:B101"/>
    <mergeCell ref="B108:G108"/>
    <mergeCell ref="B109:G109"/>
    <mergeCell ref="B110:G110"/>
    <mergeCell ref="C111:G111"/>
    <mergeCell ref="C112:G1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workbookViewId="0">
      <selection activeCell="B5" sqref="B5"/>
    </sheetView>
  </sheetViews>
  <sheetFormatPr defaultColWidth="8.85546875" defaultRowHeight="12.75" x14ac:dyDescent="0.25"/>
  <cols>
    <col min="1" max="1" width="8.85546875" style="73"/>
    <col min="2" max="2" width="40.28515625" style="73" customWidth="1"/>
    <col min="3" max="3" width="40.85546875" style="73" customWidth="1"/>
    <col min="4" max="4" width="24.140625" style="73" customWidth="1"/>
    <col min="5" max="5" width="22.28515625" style="73" customWidth="1"/>
    <col min="6" max="6" width="19.85546875" style="73" customWidth="1"/>
    <col min="7" max="7" width="22.28515625" style="73" customWidth="1"/>
    <col min="8" max="8" width="8.85546875" style="73"/>
    <col min="9" max="9" width="10" style="73" bestFit="1" customWidth="1"/>
    <col min="10"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304" t="s">
        <v>959</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312"/>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960</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312"/>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304" t="s">
        <v>961</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309" t="s">
        <v>15</v>
      </c>
      <c r="C18" s="373" t="s">
        <v>16</v>
      </c>
      <c r="D18" s="373"/>
      <c r="E18" s="373"/>
      <c r="F18" s="19"/>
      <c r="G18" s="17"/>
      <c r="H18" s="17"/>
      <c r="I18" s="17"/>
      <c r="J18" s="17"/>
      <c r="K18" s="17"/>
      <c r="L18" s="17"/>
      <c r="M18" s="17"/>
      <c r="N18" s="17"/>
    </row>
    <row r="19" spans="1:14" ht="25.5" x14ac:dyDescent="0.25">
      <c r="A19" s="13"/>
      <c r="B19" s="309" t="s">
        <v>429</v>
      </c>
      <c r="C19" s="363" t="s">
        <v>48</v>
      </c>
      <c r="D19" s="363"/>
      <c r="E19" s="363"/>
      <c r="F19" s="19"/>
      <c r="G19" s="17"/>
      <c r="I19" s="17"/>
      <c r="J19" s="17"/>
      <c r="K19" s="17"/>
      <c r="L19" s="17"/>
      <c r="M19" s="17"/>
      <c r="N19" s="17"/>
    </row>
    <row r="20" spans="1:14" x14ac:dyDescent="0.25">
      <c r="A20" s="13"/>
      <c r="B20" s="309" t="s">
        <v>18</v>
      </c>
      <c r="C20" s="363" t="s">
        <v>16</v>
      </c>
      <c r="D20" s="363"/>
      <c r="E20" s="363"/>
      <c r="F20" s="19"/>
      <c r="G20" s="17"/>
      <c r="H20" s="17"/>
      <c r="I20" s="17"/>
      <c r="J20" s="17"/>
      <c r="K20" s="17"/>
      <c r="L20" s="17"/>
      <c r="M20" s="17"/>
      <c r="N20" s="17"/>
    </row>
    <row r="21" spans="1:14" x14ac:dyDescent="0.25">
      <c r="A21" s="13"/>
      <c r="B21" s="309" t="s">
        <v>19</v>
      </c>
      <c r="C21" s="363" t="s">
        <v>16</v>
      </c>
      <c r="D21" s="363"/>
      <c r="E21" s="363"/>
      <c r="F21" s="19"/>
      <c r="G21" s="17"/>
      <c r="H21" s="17"/>
      <c r="I21" s="17"/>
      <c r="J21" s="17"/>
      <c r="K21" s="17"/>
      <c r="L21" s="17"/>
      <c r="M21" s="17"/>
      <c r="N21" s="17"/>
    </row>
    <row r="22" spans="1:14" x14ac:dyDescent="0.25">
      <c r="A22" s="13"/>
      <c r="B22" s="20" t="s">
        <v>20</v>
      </c>
      <c r="C22" s="426" t="s">
        <v>16</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301" t="s">
        <v>24</v>
      </c>
      <c r="C28" s="308" t="s">
        <v>324</v>
      </c>
      <c r="D28" s="308" t="s">
        <v>806</v>
      </c>
      <c r="E28" s="308" t="s">
        <v>962</v>
      </c>
      <c r="F28" s="19"/>
      <c r="G28" s="26"/>
      <c r="H28" s="26"/>
      <c r="I28" s="26"/>
      <c r="J28" s="26"/>
      <c r="K28" s="26"/>
      <c r="L28" s="26"/>
      <c r="M28" s="26"/>
      <c r="N28" s="26"/>
    </row>
    <row r="29" spans="1:14" x14ac:dyDescent="0.25">
      <c r="A29" s="13"/>
      <c r="B29" s="305" t="s">
        <v>28</v>
      </c>
      <c r="C29" s="113">
        <v>6697.14</v>
      </c>
      <c r="D29" s="113">
        <v>7331.47</v>
      </c>
      <c r="E29" s="113">
        <v>6613.27</v>
      </c>
      <c r="F29" s="19"/>
      <c r="G29" s="26"/>
      <c r="H29" s="26"/>
      <c r="I29" s="26"/>
      <c r="J29" s="26"/>
      <c r="K29" s="26"/>
      <c r="L29" s="26"/>
      <c r="M29" s="26"/>
      <c r="N29" s="26"/>
    </row>
    <row r="30" spans="1:14" x14ac:dyDescent="0.25">
      <c r="A30" s="13"/>
      <c r="B30" s="305" t="s">
        <v>29</v>
      </c>
      <c r="C30" s="113">
        <v>344.92</v>
      </c>
      <c r="D30" s="113">
        <v>435.93</v>
      </c>
      <c r="E30" s="113">
        <v>342.75</v>
      </c>
      <c r="F30" s="19"/>
      <c r="G30" s="26"/>
      <c r="H30" s="26"/>
      <c r="I30" s="26"/>
      <c r="J30" s="26"/>
      <c r="K30" s="26"/>
      <c r="L30" s="26"/>
      <c r="M30" s="26"/>
      <c r="N30" s="26"/>
    </row>
    <row r="31" spans="1:14" x14ac:dyDescent="0.25">
      <c r="A31" s="13"/>
      <c r="B31" s="305" t="s">
        <v>30</v>
      </c>
      <c r="C31" s="113">
        <v>552.04999999999995</v>
      </c>
      <c r="D31" s="113">
        <v>552.04999999999995</v>
      </c>
      <c r="E31" s="113">
        <v>55.21</v>
      </c>
      <c r="F31" s="19"/>
      <c r="G31" s="26"/>
      <c r="H31" s="26"/>
      <c r="I31" s="26"/>
      <c r="J31" s="26"/>
      <c r="K31" s="26"/>
      <c r="L31" s="26"/>
      <c r="M31" s="26"/>
      <c r="N31" s="26"/>
    </row>
    <row r="32" spans="1:14" x14ac:dyDescent="0.25">
      <c r="A32" s="13"/>
      <c r="B32" s="305" t="s">
        <v>436</v>
      </c>
      <c r="C32" s="113">
        <v>1993.72</v>
      </c>
      <c r="D32" s="113">
        <v>2396.7600000000002</v>
      </c>
      <c r="E32" s="113">
        <v>2706.23</v>
      </c>
      <c r="F32" s="19"/>
      <c r="G32" s="26"/>
      <c r="H32" s="26"/>
      <c r="I32" s="26"/>
      <c r="J32" s="26"/>
      <c r="K32" s="26"/>
      <c r="L32" s="26"/>
      <c r="M32" s="26"/>
      <c r="N32" s="26"/>
    </row>
    <row r="33" spans="1:14" x14ac:dyDescent="0.25">
      <c r="A33" s="13"/>
      <c r="B33" s="353" t="s">
        <v>356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301" t="s">
        <v>34</v>
      </c>
      <c r="C36" s="303" t="s">
        <v>245</v>
      </c>
      <c r="D36" s="17"/>
      <c r="E36" s="17"/>
      <c r="F36" s="17"/>
      <c r="G36" s="26"/>
      <c r="H36" s="26"/>
      <c r="I36" s="26"/>
      <c r="J36" s="26"/>
      <c r="K36" s="26"/>
      <c r="L36" s="26"/>
      <c r="M36" s="26"/>
      <c r="N36" s="26"/>
    </row>
    <row r="37" spans="1:14" x14ac:dyDescent="0.25">
      <c r="A37" s="13"/>
      <c r="B37" s="301" t="s">
        <v>36</v>
      </c>
      <c r="C37" s="303" t="s">
        <v>245</v>
      </c>
      <c r="D37" s="17"/>
      <c r="E37" s="17"/>
      <c r="F37" s="17"/>
      <c r="G37" s="26"/>
      <c r="H37" s="26"/>
      <c r="I37" s="26"/>
      <c r="J37" s="26"/>
      <c r="K37" s="26"/>
      <c r="L37" s="26"/>
      <c r="M37" s="26"/>
      <c r="N37" s="26"/>
    </row>
    <row r="38" spans="1:14" x14ac:dyDescent="0.25">
      <c r="A38" s="13"/>
      <c r="B38" s="302" t="s">
        <v>37</v>
      </c>
      <c r="C38" s="303" t="s">
        <v>245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301" t="s">
        <v>39</v>
      </c>
      <c r="C43" s="350" t="s">
        <v>107</v>
      </c>
      <c r="D43" s="351"/>
      <c r="E43" s="352"/>
      <c r="F43" s="17"/>
      <c r="G43" s="26"/>
      <c r="H43" s="26"/>
      <c r="I43" s="26"/>
      <c r="J43" s="26"/>
      <c r="K43" s="26"/>
      <c r="L43" s="26"/>
      <c r="M43" s="26"/>
      <c r="N43" s="26"/>
    </row>
    <row r="44" spans="1:14" x14ac:dyDescent="0.25">
      <c r="A44" s="13"/>
      <c r="B44" s="301" t="s">
        <v>36</v>
      </c>
      <c r="C44" s="350" t="s">
        <v>107</v>
      </c>
      <c r="D44" s="351"/>
      <c r="E44" s="352"/>
      <c r="F44" s="17"/>
      <c r="G44" s="26"/>
      <c r="H44" s="26"/>
      <c r="I44" s="26"/>
      <c r="J44" s="26"/>
      <c r="K44" s="26"/>
      <c r="L44" s="26"/>
      <c r="M44" s="26"/>
      <c r="N44" s="26"/>
    </row>
    <row r="45" spans="1:14" x14ac:dyDescent="0.25">
      <c r="A45" s="13"/>
      <c r="B45" s="301" t="s">
        <v>37</v>
      </c>
      <c r="C45" s="367" t="s">
        <v>963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07" t="s">
        <v>42</v>
      </c>
      <c r="C49" s="32" t="s">
        <v>43</v>
      </c>
      <c r="D49" s="33" t="s">
        <v>44</v>
      </c>
      <c r="E49" s="32" t="s">
        <v>268</v>
      </c>
      <c r="F49" s="26"/>
      <c r="G49" s="26"/>
      <c r="H49" s="26"/>
      <c r="I49" s="26"/>
      <c r="J49" s="26"/>
      <c r="K49" s="26"/>
      <c r="L49" s="26"/>
      <c r="M49" s="26"/>
    </row>
    <row r="50" spans="1:14" ht="63.75" x14ac:dyDescent="0.25">
      <c r="A50" s="34"/>
      <c r="B50" s="94" t="s">
        <v>369</v>
      </c>
      <c r="C50" s="94" t="s">
        <v>964</v>
      </c>
      <c r="D50" s="133" t="s">
        <v>965</v>
      </c>
      <c r="E50" s="138" t="s">
        <v>126</v>
      </c>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t="s">
        <v>232</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966</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967</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232</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51"/>
      <c r="F66" s="51"/>
      <c r="G66" s="15"/>
      <c r="H66" s="15"/>
      <c r="I66" s="15"/>
      <c r="J66" s="15"/>
      <c r="K66" s="15"/>
      <c r="L66" s="15"/>
      <c r="M66" s="15"/>
      <c r="N66" s="15"/>
    </row>
    <row r="67" spans="1:14" x14ac:dyDescent="0.25">
      <c r="A67" s="13"/>
      <c r="B67" s="301" t="s">
        <v>62</v>
      </c>
      <c r="C67" s="305" t="s">
        <v>437</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968</v>
      </c>
      <c r="D69" s="372" t="s">
        <v>405</v>
      </c>
      <c r="E69" s="336" t="s">
        <v>385</v>
      </c>
      <c r="F69" s="327" t="s">
        <v>68</v>
      </c>
      <c r="G69" s="328"/>
      <c r="H69" s="329"/>
      <c r="I69" s="330" t="s">
        <v>69</v>
      </c>
      <c r="J69" s="330"/>
      <c r="K69" s="330"/>
      <c r="L69" s="330" t="s">
        <v>70</v>
      </c>
      <c r="M69" s="330"/>
      <c r="N69" s="330"/>
    </row>
    <row r="70" spans="1:14" ht="38.25" x14ac:dyDescent="0.25">
      <c r="A70" s="4"/>
      <c r="B70" s="333"/>
      <c r="C70" s="335"/>
      <c r="D70" s="335"/>
      <c r="E70" s="337"/>
      <c r="F70" s="301" t="s">
        <v>71</v>
      </c>
      <c r="G70" s="301" t="s">
        <v>72</v>
      </c>
      <c r="H70" s="301" t="s">
        <v>73</v>
      </c>
      <c r="I70" s="301" t="s">
        <v>74</v>
      </c>
      <c r="J70" s="301" t="s">
        <v>72</v>
      </c>
      <c r="K70" s="301" t="s">
        <v>73</v>
      </c>
      <c r="L70" s="301" t="s">
        <v>74</v>
      </c>
      <c r="M70" s="301" t="s">
        <v>72</v>
      </c>
      <c r="N70" s="301" t="s">
        <v>73</v>
      </c>
    </row>
    <row r="71" spans="1:14" x14ac:dyDescent="0.25">
      <c r="A71" s="4"/>
      <c r="B71" s="301" t="s">
        <v>165</v>
      </c>
      <c r="C71" s="53">
        <v>50.4</v>
      </c>
      <c r="D71" s="54">
        <v>58.6</v>
      </c>
      <c r="E71" s="54">
        <v>55.6</v>
      </c>
      <c r="F71" s="54">
        <v>74.5</v>
      </c>
      <c r="G71" s="54">
        <v>91.5</v>
      </c>
      <c r="H71" s="53">
        <v>46.85</v>
      </c>
      <c r="I71" s="53">
        <v>97.75</v>
      </c>
      <c r="J71" s="53">
        <v>100</v>
      </c>
      <c r="K71" s="53">
        <v>58.8</v>
      </c>
      <c r="L71" s="53">
        <v>66</v>
      </c>
      <c r="M71" s="53">
        <v>101</v>
      </c>
      <c r="N71" s="53">
        <v>65</v>
      </c>
    </row>
    <row r="72" spans="1:14" ht="25.5" x14ac:dyDescent="0.2">
      <c r="A72" s="4"/>
      <c r="B72" s="301" t="s">
        <v>166</v>
      </c>
      <c r="C72" s="53">
        <v>9139.2999999999993</v>
      </c>
      <c r="D72" s="53">
        <v>9525.75</v>
      </c>
      <c r="E72" s="53">
        <v>10799.85</v>
      </c>
      <c r="F72" s="54">
        <v>10113.700000000001</v>
      </c>
      <c r="G72" s="54">
        <v>11171.55</v>
      </c>
      <c r="H72" s="56">
        <v>9075.15</v>
      </c>
      <c r="I72" s="53">
        <v>11623.9</v>
      </c>
      <c r="J72" s="53">
        <v>11760.2</v>
      </c>
      <c r="K72" s="53">
        <v>10004.549999999999</v>
      </c>
      <c r="L72" s="53">
        <v>8597.75</v>
      </c>
      <c r="M72" s="53">
        <v>12430.5</v>
      </c>
      <c r="N72" s="53">
        <v>7511.1</v>
      </c>
    </row>
    <row r="73" spans="1:14" ht="13.5" x14ac:dyDescent="0.25">
      <c r="A73" s="4"/>
      <c r="B73" s="383" t="s">
        <v>156</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420</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63.75" x14ac:dyDescent="0.25">
      <c r="A81" s="4"/>
      <c r="B81" s="306" t="s">
        <v>84</v>
      </c>
      <c r="C81" s="308" t="s">
        <v>85</v>
      </c>
      <c r="D81" s="308" t="s">
        <v>86</v>
      </c>
      <c r="E81" s="308" t="s">
        <v>438</v>
      </c>
      <c r="F81" s="308" t="s">
        <v>88</v>
      </c>
      <c r="G81" s="308" t="s">
        <v>169</v>
      </c>
      <c r="H81" s="17"/>
      <c r="I81" s="17"/>
      <c r="J81" s="17"/>
      <c r="K81" s="17"/>
      <c r="L81" s="17"/>
      <c r="M81" s="17"/>
      <c r="N81" s="17"/>
    </row>
    <row r="82" spans="1:14" x14ac:dyDescent="0.2">
      <c r="A82" s="4"/>
      <c r="B82" s="316" t="s">
        <v>90</v>
      </c>
      <c r="C82" s="5" t="s">
        <v>969</v>
      </c>
      <c r="D82" s="91">
        <v>7.45</v>
      </c>
      <c r="E82" s="91">
        <v>6.25</v>
      </c>
      <c r="F82" s="123">
        <v>7.9</v>
      </c>
      <c r="G82" s="123">
        <v>6.21</v>
      </c>
      <c r="I82" s="62"/>
      <c r="J82" s="62"/>
      <c r="K82" s="62"/>
      <c r="L82" s="62"/>
      <c r="M82" s="62"/>
      <c r="N82" s="62"/>
    </row>
    <row r="83" spans="1:14" x14ac:dyDescent="0.25">
      <c r="A83" s="4"/>
      <c r="B83" s="316"/>
      <c r="C83" s="5" t="s">
        <v>92</v>
      </c>
      <c r="D83" s="92" t="s">
        <v>126</v>
      </c>
      <c r="E83" s="92"/>
      <c r="F83" s="123"/>
      <c r="G83" s="123"/>
      <c r="I83" s="62"/>
      <c r="J83" s="62"/>
      <c r="K83" s="62"/>
      <c r="L83" s="62"/>
      <c r="M83" s="62"/>
      <c r="N83" s="62"/>
    </row>
    <row r="84" spans="1:14" ht="25.5" x14ac:dyDescent="0.25">
      <c r="A84" s="4"/>
      <c r="B84" s="316"/>
      <c r="C84" s="25" t="s">
        <v>970</v>
      </c>
      <c r="D84" s="92">
        <v>4.95</v>
      </c>
      <c r="E84" s="92">
        <v>1.35</v>
      </c>
      <c r="F84" s="123">
        <v>2.4700000000000002</v>
      </c>
      <c r="G84" s="123">
        <v>22.56</v>
      </c>
      <c r="I84" s="62"/>
      <c r="J84" s="62"/>
      <c r="K84" s="62"/>
      <c r="L84" s="62"/>
      <c r="M84" s="62"/>
      <c r="N84" s="62"/>
    </row>
    <row r="85" spans="1:14" x14ac:dyDescent="0.25">
      <c r="A85" s="4"/>
      <c r="B85" s="316"/>
      <c r="C85" s="25" t="s">
        <v>971</v>
      </c>
      <c r="D85" s="92">
        <v>62.87</v>
      </c>
      <c r="E85" s="92">
        <v>63.46</v>
      </c>
      <c r="F85" s="92" t="s">
        <v>126</v>
      </c>
      <c r="G85" s="92">
        <v>59.38</v>
      </c>
      <c r="I85" s="62"/>
      <c r="J85" s="62"/>
      <c r="K85" s="62"/>
      <c r="L85" s="62"/>
      <c r="M85" s="62"/>
      <c r="N85" s="62"/>
    </row>
    <row r="86" spans="1:14" x14ac:dyDescent="0.25">
      <c r="A86" s="4"/>
      <c r="B86" s="316"/>
      <c r="C86" s="25" t="s">
        <v>972</v>
      </c>
      <c r="D86" s="92">
        <v>4.66</v>
      </c>
      <c r="E86" s="92">
        <v>-2.1800000000000002</v>
      </c>
      <c r="F86" s="123">
        <v>-1.06</v>
      </c>
      <c r="G86" s="123">
        <v>-1.19</v>
      </c>
      <c r="I86" s="62"/>
      <c r="J86" s="62"/>
      <c r="K86" s="62"/>
      <c r="L86" s="62"/>
      <c r="M86" s="62"/>
      <c r="N86" s="62"/>
    </row>
    <row r="87" spans="1:14" x14ac:dyDescent="0.25">
      <c r="A87" s="4"/>
      <c r="B87" s="316"/>
      <c r="C87" s="25" t="s">
        <v>973</v>
      </c>
      <c r="D87" s="92">
        <v>26.92</v>
      </c>
      <c r="E87" s="92">
        <v>1.6</v>
      </c>
      <c r="F87" s="123"/>
      <c r="G87" s="123">
        <v>-1.72</v>
      </c>
      <c r="I87" s="62"/>
      <c r="J87" s="62"/>
      <c r="K87" s="62"/>
      <c r="L87" s="62"/>
      <c r="M87" s="62"/>
      <c r="N87" s="62"/>
    </row>
    <row r="88" spans="1:14" x14ac:dyDescent="0.25">
      <c r="A88" s="4"/>
      <c r="B88" s="316"/>
      <c r="C88" s="25" t="s">
        <v>974</v>
      </c>
      <c r="D88" s="92">
        <v>3.77</v>
      </c>
      <c r="E88" s="92">
        <v>0.72</v>
      </c>
      <c r="F88" s="123">
        <v>3.68</v>
      </c>
      <c r="G88" s="123">
        <v>3.85</v>
      </c>
      <c r="I88" s="62"/>
      <c r="J88" s="62"/>
      <c r="K88" s="62"/>
      <c r="L88" s="62"/>
      <c r="M88" s="62"/>
      <c r="N88" s="62"/>
    </row>
    <row r="89" spans="1:14" x14ac:dyDescent="0.25">
      <c r="A89" s="4"/>
      <c r="B89" s="316"/>
      <c r="C89" s="25" t="s">
        <v>975</v>
      </c>
      <c r="D89" s="92">
        <v>4.08</v>
      </c>
      <c r="E89" s="92">
        <v>0.75</v>
      </c>
      <c r="F89" s="123">
        <v>2.81</v>
      </c>
      <c r="G89" s="123">
        <v>-23.12</v>
      </c>
      <c r="I89" s="62"/>
      <c r="J89" s="62"/>
      <c r="K89" s="62"/>
      <c r="L89" s="62"/>
      <c r="M89" s="62"/>
      <c r="N89" s="62"/>
    </row>
    <row r="90" spans="1:14" x14ac:dyDescent="0.25">
      <c r="A90" s="4"/>
      <c r="B90" s="316"/>
      <c r="C90" s="73" t="s">
        <v>976</v>
      </c>
      <c r="D90" s="92">
        <v>1.32</v>
      </c>
      <c r="E90" s="92">
        <v>1.43</v>
      </c>
      <c r="F90" s="123">
        <v>6.45</v>
      </c>
      <c r="G90" s="123">
        <v>5.1100000000000003</v>
      </c>
      <c r="I90" s="62"/>
      <c r="J90" s="62"/>
      <c r="K90" s="62"/>
      <c r="L90" s="62"/>
      <c r="M90" s="62"/>
      <c r="N90" s="62"/>
    </row>
    <row r="91" spans="1:14" x14ac:dyDescent="0.25">
      <c r="A91" s="4"/>
      <c r="B91" s="316"/>
      <c r="C91" s="5" t="s">
        <v>93</v>
      </c>
      <c r="D91" s="164">
        <f>SUM(D84:D90)/7</f>
        <v>15.509999999999996</v>
      </c>
      <c r="E91" s="164">
        <f t="shared" ref="E91:G91" si="0">SUM(E84:E90)/7</f>
        <v>9.5900000000000016</v>
      </c>
      <c r="F91" s="164">
        <f t="shared" si="0"/>
        <v>2.0500000000000003</v>
      </c>
      <c r="G91" s="164">
        <f t="shared" si="0"/>
        <v>9.267142857142856</v>
      </c>
      <c r="I91" s="62"/>
      <c r="J91" s="62"/>
      <c r="K91" s="62"/>
      <c r="L91" s="62"/>
      <c r="M91" s="62"/>
      <c r="N91" s="62"/>
    </row>
    <row r="92" spans="1:14" x14ac:dyDescent="0.2">
      <c r="A92" s="4"/>
      <c r="B92" s="316" t="s">
        <v>94</v>
      </c>
      <c r="C92" s="5" t="s">
        <v>969</v>
      </c>
      <c r="D92" s="93">
        <v>5.64</v>
      </c>
      <c r="E92" s="93">
        <v>11.92</v>
      </c>
      <c r="F92" s="181">
        <f>I71/F82</f>
        <v>12.373417721518987</v>
      </c>
      <c r="G92" s="181">
        <f>L71/G82</f>
        <v>10.628019323671497</v>
      </c>
      <c r="I92" s="62"/>
      <c r="J92" s="62"/>
      <c r="K92" s="62"/>
      <c r="L92" s="62"/>
      <c r="M92" s="62"/>
      <c r="N92" s="62"/>
    </row>
    <row r="93" spans="1:14" x14ac:dyDescent="0.25">
      <c r="A93" s="4"/>
      <c r="B93" s="316"/>
      <c r="C93" s="5" t="s">
        <v>92</v>
      </c>
      <c r="D93" s="92" t="s">
        <v>126</v>
      </c>
      <c r="E93" s="92"/>
      <c r="F93" s="123"/>
      <c r="G93" s="123"/>
      <c r="I93" s="62"/>
      <c r="J93" s="62"/>
      <c r="K93" s="62"/>
      <c r="L93" s="62"/>
      <c r="M93" s="62"/>
      <c r="N93" s="62"/>
    </row>
    <row r="94" spans="1:14" ht="25.5" x14ac:dyDescent="0.25">
      <c r="A94" s="4"/>
      <c r="B94" s="316"/>
      <c r="C94" s="25" t="s">
        <v>970</v>
      </c>
      <c r="D94" s="92">
        <v>28.08</v>
      </c>
      <c r="E94" s="92">
        <f>172/1.35</f>
        <v>127.4074074074074</v>
      </c>
      <c r="F94" s="181">
        <f>106/F84</f>
        <v>42.914979757085014</v>
      </c>
      <c r="G94" s="181">
        <v>3.68</v>
      </c>
      <c r="I94" s="62"/>
      <c r="J94" s="62"/>
      <c r="K94" s="62"/>
      <c r="L94" s="62"/>
      <c r="M94" s="62"/>
      <c r="N94" s="62"/>
    </row>
    <row r="95" spans="1:14" x14ac:dyDescent="0.25">
      <c r="A95" s="4"/>
      <c r="B95" s="316"/>
      <c r="C95" s="25" t="s">
        <v>971</v>
      </c>
      <c r="D95" s="92">
        <v>22.28</v>
      </c>
      <c r="E95" s="92" t="s">
        <v>126</v>
      </c>
      <c r="F95" s="92" t="s">
        <v>126</v>
      </c>
      <c r="G95" s="92"/>
      <c r="I95" s="62"/>
      <c r="J95" s="62"/>
      <c r="K95" s="62"/>
      <c r="L95" s="62"/>
      <c r="M95" s="62"/>
      <c r="N95" s="62"/>
    </row>
    <row r="96" spans="1:14" x14ac:dyDescent="0.25">
      <c r="A96" s="4"/>
      <c r="B96" s="316"/>
      <c r="C96" s="25" t="s">
        <v>972</v>
      </c>
      <c r="D96" s="92">
        <v>32.520000000000003</v>
      </c>
      <c r="E96" s="92">
        <f>138.9/(2.18)</f>
        <v>63.715596330275226</v>
      </c>
      <c r="F96" s="181">
        <f>61.3/F86</f>
        <v>-57.830188679245275</v>
      </c>
      <c r="G96" s="448">
        <v>0</v>
      </c>
      <c r="I96" s="62"/>
      <c r="J96" s="62"/>
      <c r="K96" s="62"/>
      <c r="L96" s="62"/>
      <c r="M96" s="62"/>
      <c r="N96" s="62"/>
    </row>
    <row r="97" spans="1:14" x14ac:dyDescent="0.25">
      <c r="A97" s="4"/>
      <c r="B97" s="316"/>
      <c r="C97" s="25" t="s">
        <v>973</v>
      </c>
      <c r="D97" s="92">
        <v>22.64</v>
      </c>
      <c r="E97" s="92">
        <f>67.12/1.6</f>
        <v>41.95</v>
      </c>
      <c r="F97" s="123">
        <v>0</v>
      </c>
      <c r="G97" s="123">
        <v>0</v>
      </c>
      <c r="I97" s="62"/>
      <c r="J97" s="62"/>
      <c r="K97" s="62"/>
      <c r="L97" s="62"/>
      <c r="M97" s="62"/>
      <c r="N97" s="62"/>
    </row>
    <row r="98" spans="1:14" x14ac:dyDescent="0.25">
      <c r="A98" s="4"/>
      <c r="B98" s="316"/>
      <c r="C98" s="25" t="s">
        <v>974</v>
      </c>
      <c r="D98" s="92">
        <v>19.190000000000001</v>
      </c>
      <c r="E98" s="92">
        <f>57.1/0.72</f>
        <v>79.305555555555557</v>
      </c>
      <c r="F98" s="181">
        <f>44/F88</f>
        <v>11.956521739130434</v>
      </c>
      <c r="G98" s="181">
        <v>7.55</v>
      </c>
      <c r="I98" s="62"/>
      <c r="J98" s="62"/>
      <c r="K98" s="62"/>
      <c r="L98" s="62"/>
      <c r="M98" s="62"/>
      <c r="N98" s="62"/>
    </row>
    <row r="99" spans="1:14" x14ac:dyDescent="0.25">
      <c r="A99" s="4"/>
      <c r="B99" s="316"/>
      <c r="C99" s="25" t="s">
        <v>975</v>
      </c>
      <c r="D99" s="92">
        <v>19.43</v>
      </c>
      <c r="E99" s="92">
        <f>52.15/0.75</f>
        <v>69.533333333333331</v>
      </c>
      <c r="F99" s="181">
        <f>36.8/F89</f>
        <v>13.096085409252668</v>
      </c>
      <c r="G99" s="181">
        <v>0</v>
      </c>
      <c r="I99" s="62"/>
      <c r="J99" s="62"/>
      <c r="K99" s="62"/>
      <c r="L99" s="62"/>
      <c r="M99" s="62"/>
      <c r="N99" s="62"/>
    </row>
    <row r="100" spans="1:14" x14ac:dyDescent="0.25">
      <c r="A100" s="4"/>
      <c r="B100" s="316"/>
      <c r="C100" s="73" t="s">
        <v>976</v>
      </c>
      <c r="D100" s="92">
        <v>52.03</v>
      </c>
      <c r="E100" s="92">
        <f>87.4/1.43</f>
        <v>61.118881118881127</v>
      </c>
      <c r="F100" s="181">
        <f>68.55/F90</f>
        <v>10.627906976744185</v>
      </c>
      <c r="G100" s="181">
        <v>8.6199999999999992</v>
      </c>
      <c r="J100" s="62"/>
      <c r="K100" s="62"/>
      <c r="L100" s="62"/>
      <c r="M100" s="62"/>
      <c r="N100" s="62"/>
    </row>
    <row r="101" spans="1:14" x14ac:dyDescent="0.25">
      <c r="A101" s="4"/>
      <c r="B101" s="316"/>
      <c r="C101" s="5" t="s">
        <v>93</v>
      </c>
      <c r="D101" s="164">
        <f>SUM(D94:D100)/7</f>
        <v>28.024285714285714</v>
      </c>
      <c r="E101" s="164">
        <f t="shared" ref="E101:F101" si="1">SUM(E94:E100)/7</f>
        <v>63.29011053506467</v>
      </c>
      <c r="F101" s="164">
        <f t="shared" si="1"/>
        <v>2.9664721718524327</v>
      </c>
      <c r="G101" s="164"/>
      <c r="J101" s="62"/>
      <c r="K101" s="62"/>
      <c r="L101" s="62"/>
      <c r="M101" s="62"/>
      <c r="N101" s="62"/>
    </row>
    <row r="102" spans="1:14" x14ac:dyDescent="0.2">
      <c r="A102" s="4"/>
      <c r="B102" s="316" t="s">
        <v>95</v>
      </c>
      <c r="C102" s="5" t="s">
        <v>969</v>
      </c>
      <c r="D102" s="91">
        <v>18.809999999999999</v>
      </c>
      <c r="E102" s="114">
        <v>0.13550000000000001</v>
      </c>
      <c r="F102" s="181">
        <f>435.93/2948.81*100</f>
        <v>14.783251548929908</v>
      </c>
      <c r="G102" s="181">
        <f>34275194/325828163*100</f>
        <v>10.519408047609438</v>
      </c>
      <c r="I102" s="62"/>
      <c r="J102" s="62"/>
      <c r="K102" s="62"/>
      <c r="L102" s="62"/>
      <c r="M102" s="62"/>
      <c r="N102" s="62"/>
    </row>
    <row r="103" spans="1:14" x14ac:dyDescent="0.25">
      <c r="A103" s="4"/>
      <c r="B103" s="316"/>
      <c r="C103" s="5" t="s">
        <v>92</v>
      </c>
      <c r="D103" s="92" t="s">
        <v>126</v>
      </c>
      <c r="E103" s="92"/>
      <c r="F103" s="123"/>
      <c r="G103" s="123"/>
      <c r="I103" s="62"/>
      <c r="J103" s="62"/>
      <c r="K103" s="62"/>
      <c r="L103" s="62"/>
      <c r="M103" s="62"/>
      <c r="N103" s="62"/>
    </row>
    <row r="104" spans="1:14" ht="25.5" x14ac:dyDescent="0.25">
      <c r="A104" s="4"/>
      <c r="B104" s="316"/>
      <c r="C104" s="25" t="s">
        <v>970</v>
      </c>
      <c r="D104" s="92">
        <v>11.82</v>
      </c>
      <c r="E104" s="182">
        <f>163.61/6607.65*100</f>
        <v>2.4760694044024731</v>
      </c>
      <c r="F104" s="181">
        <f>274.36/6511.13*100</f>
        <v>4.2137079124514489</v>
      </c>
      <c r="G104" s="181">
        <v>32.85</v>
      </c>
      <c r="I104" s="62"/>
      <c r="J104" s="62"/>
      <c r="K104" s="62"/>
      <c r="L104" s="62"/>
      <c r="M104" s="62"/>
      <c r="N104" s="62"/>
    </row>
    <row r="105" spans="1:14" x14ac:dyDescent="0.25">
      <c r="A105" s="4"/>
      <c r="B105" s="316"/>
      <c r="C105" s="25" t="s">
        <v>971</v>
      </c>
      <c r="D105" s="92">
        <v>72.760000000000005</v>
      </c>
      <c r="E105" s="92" t="s">
        <v>126</v>
      </c>
      <c r="F105" s="92" t="s">
        <v>126</v>
      </c>
      <c r="G105" s="92">
        <f>886384108/2359428359*100</f>
        <v>37.567748332722317</v>
      </c>
      <c r="I105" s="62"/>
      <c r="J105" s="62"/>
      <c r="K105" s="62"/>
      <c r="L105" s="62"/>
      <c r="M105" s="62"/>
      <c r="N105" s="62"/>
    </row>
    <row r="106" spans="1:14" x14ac:dyDescent="0.25">
      <c r="A106" s="4"/>
      <c r="B106" s="316"/>
      <c r="C106" s="25" t="s">
        <v>972</v>
      </c>
      <c r="D106" s="92">
        <v>20.49</v>
      </c>
      <c r="E106" s="182">
        <f>(884.2)/29516.64*100</f>
        <v>2.9955984149957451</v>
      </c>
      <c r="F106" s="181">
        <f>-399.39/22573.25*100</f>
        <v>-1.7693065907656185</v>
      </c>
      <c r="G106" s="181">
        <v>-2.02</v>
      </c>
      <c r="I106" s="62"/>
      <c r="J106" s="62"/>
      <c r="K106" s="62"/>
      <c r="L106" s="62"/>
      <c r="M106" s="62"/>
      <c r="N106" s="62"/>
    </row>
    <row r="107" spans="1:14" x14ac:dyDescent="0.25">
      <c r="A107" s="4"/>
      <c r="B107" s="316"/>
      <c r="C107" s="25" t="s">
        <v>973</v>
      </c>
      <c r="D107" s="92">
        <v>35</v>
      </c>
      <c r="E107" s="182">
        <f>498.67/7820.27*100</f>
        <v>6.3766340548344234</v>
      </c>
      <c r="F107" s="123"/>
      <c r="G107" s="123">
        <v>-6.15</v>
      </c>
      <c r="I107" s="62"/>
      <c r="J107" s="62"/>
      <c r="K107" s="62"/>
      <c r="L107" s="62"/>
      <c r="M107" s="62"/>
      <c r="N107" s="62"/>
    </row>
    <row r="108" spans="1:14" x14ac:dyDescent="0.25">
      <c r="A108" s="4"/>
      <c r="B108" s="316"/>
      <c r="C108" s="25" t="s">
        <v>974</v>
      </c>
      <c r="D108" s="92">
        <v>3.87</v>
      </c>
      <c r="E108" s="182">
        <f>194.11/8663.18*100</f>
        <v>2.2406321927975639</v>
      </c>
      <c r="F108" s="181">
        <f>1023/8314.95*100</f>
        <v>12.303140728446953</v>
      </c>
      <c r="G108" s="181">
        <v>11.42</v>
      </c>
      <c r="I108" s="62"/>
      <c r="J108" s="62"/>
      <c r="K108" s="62"/>
      <c r="L108" s="62"/>
      <c r="M108" s="62"/>
      <c r="N108" s="62"/>
    </row>
    <row r="109" spans="1:14" x14ac:dyDescent="0.25">
      <c r="A109" s="4"/>
      <c r="B109" s="316"/>
      <c r="C109" s="25" t="s">
        <v>975</v>
      </c>
      <c r="D109" s="92">
        <v>14.76</v>
      </c>
      <c r="E109" s="182">
        <f>182.15/17995.97*100</f>
        <v>1.0121710582980523</v>
      </c>
      <c r="F109" s="181">
        <f>719/18543*100</f>
        <v>3.8774739793992339</v>
      </c>
      <c r="G109" s="181">
        <v>-39.25</v>
      </c>
      <c r="I109" s="62"/>
      <c r="J109" s="62"/>
      <c r="K109" s="62"/>
      <c r="L109" s="62"/>
      <c r="M109" s="62"/>
      <c r="N109" s="62"/>
    </row>
    <row r="110" spans="1:14" x14ac:dyDescent="0.25">
      <c r="A110" s="4"/>
      <c r="B110" s="316"/>
      <c r="C110" s="73" t="s">
        <v>976</v>
      </c>
      <c r="D110" s="92">
        <v>9.6</v>
      </c>
      <c r="E110" s="182">
        <f>212.49/5185.89*100</f>
        <v>4.0974644660800754</v>
      </c>
      <c r="F110" s="181">
        <f>1013.41/6101.97*100</f>
        <v>16.607915148714266</v>
      </c>
      <c r="G110" s="181">
        <v>13.3</v>
      </c>
      <c r="I110" s="62"/>
      <c r="J110" s="62"/>
      <c r="K110" s="62"/>
      <c r="L110" s="62"/>
      <c r="M110" s="62"/>
      <c r="N110" s="62"/>
    </row>
    <row r="111" spans="1:14" x14ac:dyDescent="0.25">
      <c r="A111" s="4"/>
      <c r="B111" s="316"/>
      <c r="C111" s="5" t="s">
        <v>93</v>
      </c>
      <c r="D111" s="164">
        <f>SUM(D104:D110)/7</f>
        <v>24.042857142857141</v>
      </c>
      <c r="E111" s="164">
        <f>SUM(E106:E110)/7</f>
        <v>2.3889285981436941</v>
      </c>
      <c r="F111" s="164">
        <f>SUM(F106:F110)/7</f>
        <v>4.4313176093992626</v>
      </c>
      <c r="G111" s="164">
        <f>SUM(G106:G110)/7</f>
        <v>-3.2428571428571429</v>
      </c>
      <c r="I111" s="62"/>
      <c r="J111" s="62"/>
      <c r="K111" s="66"/>
      <c r="L111" s="62"/>
      <c r="M111" s="62"/>
      <c r="N111" s="62"/>
    </row>
    <row r="112" spans="1:14" x14ac:dyDescent="0.2">
      <c r="A112" s="4"/>
      <c r="B112" s="316" t="s">
        <v>96</v>
      </c>
      <c r="C112" s="5" t="s">
        <v>969</v>
      </c>
      <c r="D112" s="91">
        <v>217.71</v>
      </c>
      <c r="E112" s="92">
        <v>46.11</v>
      </c>
      <c r="F112" s="181">
        <f>294880590/5520500</f>
        <v>53.415558373335749</v>
      </c>
      <c r="G112" s="181">
        <f>325828163/5520500</f>
        <v>59.021494973281406</v>
      </c>
      <c r="I112" s="62"/>
      <c r="J112" s="62"/>
      <c r="K112" s="62"/>
      <c r="L112" s="62"/>
      <c r="M112" s="62"/>
      <c r="N112" s="62"/>
    </row>
    <row r="113" spans="1:14" x14ac:dyDescent="0.2">
      <c r="A113" s="4"/>
      <c r="B113" s="316"/>
      <c r="C113" s="5" t="s">
        <v>92</v>
      </c>
      <c r="D113" s="91"/>
      <c r="E113" s="91"/>
      <c r="F113" s="123"/>
      <c r="G113" s="123"/>
      <c r="I113" s="62"/>
      <c r="J113" s="62"/>
      <c r="K113" s="62"/>
      <c r="L113" s="62"/>
      <c r="M113" s="62"/>
      <c r="N113" s="62"/>
    </row>
    <row r="114" spans="1:14" ht="25.5" x14ac:dyDescent="0.2">
      <c r="A114" s="4"/>
      <c r="B114" s="316"/>
      <c r="C114" s="25" t="s">
        <v>970</v>
      </c>
      <c r="D114" s="91">
        <v>44.27</v>
      </c>
      <c r="E114" s="93">
        <f>6607.65/110.904</f>
        <v>59.579906946548363</v>
      </c>
      <c r="F114" s="181">
        <f>6511.13*100000/11117100</f>
        <v>58.568601523778682</v>
      </c>
      <c r="G114" s="181">
        <v>78.760000000000005</v>
      </c>
      <c r="I114" s="62"/>
      <c r="J114" s="62"/>
      <c r="K114" s="62"/>
      <c r="L114" s="62"/>
      <c r="M114" s="62"/>
      <c r="N114" s="62"/>
    </row>
    <row r="115" spans="1:14" x14ac:dyDescent="0.2">
      <c r="A115" s="4"/>
      <c r="B115" s="316"/>
      <c r="C115" s="25" t="s">
        <v>971</v>
      </c>
      <c r="D115" s="91">
        <v>104.72</v>
      </c>
      <c r="E115" s="449" t="s">
        <v>126</v>
      </c>
      <c r="F115" s="449" t="s">
        <v>126</v>
      </c>
      <c r="G115" s="449">
        <f>2359428359/14926866</f>
        <v>158.06588998655175</v>
      </c>
      <c r="I115" s="62"/>
      <c r="J115" s="62"/>
      <c r="K115" s="62"/>
      <c r="L115" s="62"/>
      <c r="M115" s="62"/>
      <c r="N115" s="62"/>
    </row>
    <row r="116" spans="1:14" x14ac:dyDescent="0.25">
      <c r="A116" s="4"/>
      <c r="B116" s="316"/>
      <c r="C116" s="25" t="s">
        <v>972</v>
      </c>
      <c r="D116" s="92">
        <v>45.9</v>
      </c>
      <c r="E116" s="92">
        <f>29516.64/377.902</f>
        <v>78.106599065366154</v>
      </c>
      <c r="F116" s="181">
        <f>22573.25*100000/18895100</f>
        <v>119.46615789278702</v>
      </c>
      <c r="G116" s="181">
        <v>57.57</v>
      </c>
      <c r="I116" s="62"/>
      <c r="J116" s="62"/>
      <c r="K116" s="62"/>
      <c r="L116" s="62"/>
      <c r="M116" s="62"/>
      <c r="N116" s="62"/>
    </row>
    <row r="117" spans="1:14" x14ac:dyDescent="0.25">
      <c r="A117" s="4"/>
      <c r="B117" s="386"/>
      <c r="C117" s="25" t="s">
        <v>973</v>
      </c>
      <c r="D117" s="92">
        <v>98.31</v>
      </c>
      <c r="E117" s="92">
        <f>7820.27/305.176</f>
        <v>25.625442367682915</v>
      </c>
      <c r="F117" s="123"/>
      <c r="G117" s="123">
        <v>27.11</v>
      </c>
      <c r="I117" s="62"/>
      <c r="J117" s="62"/>
      <c r="K117" s="62"/>
      <c r="L117" s="62"/>
      <c r="M117" s="62"/>
      <c r="N117" s="62"/>
    </row>
    <row r="118" spans="1:14" x14ac:dyDescent="0.25">
      <c r="A118" s="4"/>
      <c r="B118" s="386"/>
      <c r="C118" s="25" t="s">
        <v>974</v>
      </c>
      <c r="D118" s="92">
        <v>25.75</v>
      </c>
      <c r="E118" s="92">
        <f>8663.18/274.146</f>
        <v>31.600606975844986</v>
      </c>
      <c r="F118" s="181">
        <f>8314.95*100000/27515600</f>
        <v>30.219039381296433</v>
      </c>
      <c r="G118" s="181">
        <v>34.99</v>
      </c>
      <c r="I118" s="62"/>
      <c r="J118" s="62"/>
      <c r="K118" s="62"/>
      <c r="L118" s="62"/>
      <c r="M118" s="62"/>
      <c r="N118" s="62"/>
    </row>
    <row r="119" spans="1:14" x14ac:dyDescent="0.25">
      <c r="A119" s="4"/>
      <c r="B119" s="386"/>
      <c r="C119" s="25" t="s">
        <v>975</v>
      </c>
      <c r="D119" s="92">
        <v>77.87</v>
      </c>
      <c r="E119" s="92">
        <f>17995.97/256.219</f>
        <v>70.236672534043151</v>
      </c>
      <c r="F119" s="181">
        <f>18543*100000/25620000</f>
        <v>72.377049180327873</v>
      </c>
      <c r="G119" s="181">
        <v>46.87</v>
      </c>
      <c r="I119" s="62"/>
      <c r="J119" s="62"/>
      <c r="K119" s="62"/>
      <c r="L119" s="62"/>
      <c r="M119" s="62"/>
      <c r="N119" s="62"/>
    </row>
    <row r="120" spans="1:14" x14ac:dyDescent="0.25">
      <c r="A120" s="4"/>
      <c r="B120" s="386"/>
      <c r="C120" s="73" t="s">
        <v>976</v>
      </c>
      <c r="D120" s="92">
        <v>27.91</v>
      </c>
      <c r="E120" s="92">
        <f>5185.89/155.421</f>
        <v>33.366726504140374</v>
      </c>
      <c r="F120" s="181">
        <f>6101.97*100000/15804900</f>
        <v>38.608089896171442</v>
      </c>
      <c r="G120" s="181">
        <v>40.67</v>
      </c>
      <c r="I120" s="62"/>
      <c r="J120" s="62"/>
      <c r="K120" s="62"/>
      <c r="L120" s="62"/>
      <c r="M120" s="62"/>
      <c r="N120" s="62"/>
    </row>
    <row r="121" spans="1:14" x14ac:dyDescent="0.25">
      <c r="A121" s="4"/>
      <c r="B121" s="386"/>
      <c r="C121" s="5" t="s">
        <v>93</v>
      </c>
      <c r="D121" s="164">
        <f>SUM(D114:D120)/7</f>
        <v>60.675714285714299</v>
      </c>
      <c r="E121" s="164">
        <f t="shared" ref="E121:G121" si="2">SUM(E114:E120)/7</f>
        <v>42.645136341946568</v>
      </c>
      <c r="F121" s="164">
        <f t="shared" si="2"/>
        <v>45.605562553480205</v>
      </c>
      <c r="G121" s="164">
        <f t="shared" si="2"/>
        <v>63.433698569507399</v>
      </c>
      <c r="I121" s="62"/>
      <c r="J121" s="62"/>
      <c r="K121" s="62"/>
      <c r="L121" s="62"/>
      <c r="M121" s="62"/>
      <c r="N121" s="62"/>
    </row>
    <row r="122" spans="1:14" s="57" customFormat="1" x14ac:dyDescent="0.25">
      <c r="B122" s="387"/>
      <c r="C122" s="388"/>
      <c r="D122" s="388"/>
      <c r="E122" s="388"/>
      <c r="F122" s="388"/>
      <c r="G122" s="389"/>
    </row>
    <row r="123" spans="1:14" x14ac:dyDescent="0.25">
      <c r="A123" s="4"/>
      <c r="B123" s="376" t="s">
        <v>977</v>
      </c>
      <c r="C123" s="377"/>
      <c r="D123" s="377"/>
      <c r="E123" s="377"/>
      <c r="F123" s="377"/>
      <c r="G123" s="378"/>
      <c r="H123" s="62"/>
      <c r="I123" s="62"/>
      <c r="J123" s="62"/>
      <c r="K123" s="62"/>
      <c r="L123" s="62"/>
      <c r="M123" s="62"/>
      <c r="N123" s="62"/>
    </row>
    <row r="124" spans="1:14" x14ac:dyDescent="0.25">
      <c r="A124" s="4"/>
      <c r="B124" s="379" t="s">
        <v>128</v>
      </c>
      <c r="C124" s="380"/>
      <c r="D124" s="380"/>
      <c r="E124" s="380"/>
      <c r="F124" s="380"/>
      <c r="G124" s="381"/>
      <c r="H124" s="62"/>
      <c r="I124" s="62"/>
      <c r="J124" s="62"/>
      <c r="K124" s="62"/>
      <c r="L124" s="62"/>
      <c r="M124" s="62"/>
      <c r="N124" s="62"/>
    </row>
    <row r="125" spans="1:14" x14ac:dyDescent="0.25">
      <c r="A125" s="4"/>
      <c r="B125" s="353" t="s">
        <v>366</v>
      </c>
      <c r="C125" s="354"/>
      <c r="D125" s="354"/>
      <c r="E125" s="354"/>
      <c r="F125" s="354"/>
      <c r="G125" s="355"/>
      <c r="H125" s="62"/>
      <c r="I125" s="62"/>
      <c r="J125" s="62"/>
      <c r="K125" s="62"/>
      <c r="L125" s="62"/>
      <c r="M125" s="62"/>
      <c r="N125" s="62"/>
    </row>
    <row r="126" spans="1:14" x14ac:dyDescent="0.25">
      <c r="A126" s="26"/>
      <c r="B126" s="12"/>
      <c r="C126" s="323"/>
      <c r="D126" s="323"/>
      <c r="E126" s="323"/>
      <c r="F126" s="323"/>
      <c r="G126" s="323"/>
      <c r="H126" s="62"/>
      <c r="I126" s="62"/>
      <c r="J126" s="26"/>
      <c r="K126" s="26"/>
      <c r="L126" s="26"/>
      <c r="M126" s="26"/>
      <c r="N126" s="26"/>
    </row>
    <row r="127" spans="1:14" x14ac:dyDescent="0.25">
      <c r="A127" s="13">
        <v>14</v>
      </c>
      <c r="B127" s="70" t="s">
        <v>99</v>
      </c>
      <c r="C127" s="324" t="s">
        <v>48</v>
      </c>
      <c r="D127" s="325"/>
      <c r="E127" s="325"/>
      <c r="F127" s="325"/>
      <c r="G127" s="326"/>
      <c r="H127" s="26"/>
      <c r="I127" s="26"/>
      <c r="J127" s="26"/>
      <c r="K127" s="26"/>
      <c r="L127" s="26"/>
      <c r="M127" s="26"/>
      <c r="N127" s="26"/>
    </row>
    <row r="128" spans="1:14" x14ac:dyDescent="0.25">
      <c r="A128" s="310"/>
      <c r="B128" s="26"/>
      <c r="C128" s="84"/>
      <c r="D128" s="84"/>
      <c r="E128" s="84"/>
      <c r="F128" s="84"/>
      <c r="G128" s="84"/>
      <c r="H128" s="26"/>
      <c r="I128" s="26"/>
      <c r="J128" s="26"/>
      <c r="K128" s="26"/>
      <c r="L128" s="26"/>
      <c r="M128" s="26"/>
      <c r="N128" s="26"/>
    </row>
    <row r="129" spans="1:14" x14ac:dyDescent="0.25">
      <c r="A129" s="26"/>
      <c r="B129" s="374" t="s">
        <v>978</v>
      </c>
      <c r="C129" s="375"/>
      <c r="D129" s="375"/>
      <c r="E129" s="375"/>
      <c r="F129" s="375"/>
      <c r="G129" s="375"/>
      <c r="H129" s="375"/>
      <c r="I129" s="26"/>
      <c r="J129" s="26"/>
      <c r="K129" s="26"/>
      <c r="L129" s="26"/>
      <c r="M129" s="26"/>
      <c r="N129" s="26"/>
    </row>
    <row r="130" spans="1:14" x14ac:dyDescent="0.25">
      <c r="A130" s="26"/>
      <c r="I130" s="26"/>
      <c r="J130" s="26"/>
      <c r="K130" s="26"/>
      <c r="L130" s="26"/>
      <c r="M130" s="26"/>
      <c r="N130" s="26"/>
    </row>
    <row r="131" spans="1:14" x14ac:dyDescent="0.25">
      <c r="A131" s="26"/>
      <c r="J131" s="26"/>
      <c r="K131" s="26"/>
      <c r="L131" s="26"/>
      <c r="M131" s="26"/>
      <c r="N131" s="26"/>
    </row>
  </sheetData>
  <sheetProtection password="DB00" sheet="1" objects="1" scenarios="1"/>
  <mergeCells count="59">
    <mergeCell ref="C127:G127"/>
    <mergeCell ref="B129:H129"/>
    <mergeCell ref="B112:B121"/>
    <mergeCell ref="B122:G122"/>
    <mergeCell ref="B123:G123"/>
    <mergeCell ref="B124:G124"/>
    <mergeCell ref="B125:G125"/>
    <mergeCell ref="C126:G126"/>
    <mergeCell ref="B76:N76"/>
    <mergeCell ref="B77:N77"/>
    <mergeCell ref="B79:G79"/>
    <mergeCell ref="B82:B91"/>
    <mergeCell ref="B92:B101"/>
    <mergeCell ref="B102:B111"/>
    <mergeCell ref="F69:H69"/>
    <mergeCell ref="I69:K69"/>
    <mergeCell ref="L69:N69"/>
    <mergeCell ref="B73:N73"/>
    <mergeCell ref="B74:N74"/>
    <mergeCell ref="B75:N75"/>
    <mergeCell ref="C57:E57"/>
    <mergeCell ref="C58:E58"/>
    <mergeCell ref="B59:E59"/>
    <mergeCell ref="B60:E60"/>
    <mergeCell ref="C63:E63"/>
    <mergeCell ref="B69:B70"/>
    <mergeCell ref="C69:C70"/>
    <mergeCell ref="D69:D70"/>
    <mergeCell ref="E69:E70"/>
    <mergeCell ref="B48:E48"/>
    <mergeCell ref="B51:E51"/>
    <mergeCell ref="B52:E52"/>
    <mergeCell ref="B54:E54"/>
    <mergeCell ref="B55:B56"/>
    <mergeCell ref="C55:E56"/>
    <mergeCell ref="B39:C39"/>
    <mergeCell ref="B42:E42"/>
    <mergeCell ref="C43:E43"/>
    <mergeCell ref="C44:E44"/>
    <mergeCell ref="C45:E45"/>
    <mergeCell ref="B46:E46"/>
    <mergeCell ref="C22:E22"/>
    <mergeCell ref="B23:E23"/>
    <mergeCell ref="B26:E26"/>
    <mergeCell ref="B27:E27"/>
    <mergeCell ref="B33:E33"/>
    <mergeCell ref="B35:E35"/>
    <mergeCell ref="B15:C15"/>
    <mergeCell ref="B17:E17"/>
    <mergeCell ref="C18:E18"/>
    <mergeCell ref="C19:E19"/>
    <mergeCell ref="C20:E20"/>
    <mergeCell ref="C21:E21"/>
    <mergeCell ref="A1:B1"/>
    <mergeCell ref="C5:E5"/>
    <mergeCell ref="B6:D6"/>
    <mergeCell ref="B9:D9"/>
    <mergeCell ref="C11:E11"/>
    <mergeCell ref="B12:D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topLeftCell="A37" workbookViewId="0">
      <selection activeCell="B23" sqref="B23:E23"/>
    </sheetView>
  </sheetViews>
  <sheetFormatPr defaultColWidth="8.85546875" defaultRowHeight="12.75" x14ac:dyDescent="0.25"/>
  <cols>
    <col min="1" max="1" width="8.85546875" style="73"/>
    <col min="2" max="2" width="40.28515625" style="73" customWidth="1"/>
    <col min="3" max="3" width="40.85546875" style="73" customWidth="1"/>
    <col min="4" max="4" width="21.28515625" style="73" customWidth="1"/>
    <col min="5" max="5" width="22.28515625" style="73" customWidth="1"/>
    <col min="6" max="6" width="19.85546875" style="73" customWidth="1"/>
    <col min="7" max="7" width="22.28515625" style="73" customWidth="1"/>
    <col min="8" max="8" width="8.85546875" style="73"/>
    <col min="9" max="9" width="10" style="73" bestFit="1" customWidth="1"/>
    <col min="10"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439</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440</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441</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429</v>
      </c>
      <c r="C19" s="373" t="s">
        <v>16</v>
      </c>
      <c r="D19" s="373"/>
      <c r="E19" s="373"/>
      <c r="F19" s="19"/>
      <c r="G19" s="17"/>
      <c r="I19" s="17"/>
      <c r="J19" s="17"/>
      <c r="K19" s="17"/>
      <c r="L19" s="17"/>
      <c r="M19" s="17"/>
      <c r="N19" s="17"/>
    </row>
    <row r="20" spans="1:14" x14ac:dyDescent="0.25">
      <c r="A20" s="13"/>
      <c r="B20" s="18" t="s">
        <v>18</v>
      </c>
      <c r="C20" s="373" t="s">
        <v>16</v>
      </c>
      <c r="D20" s="373"/>
      <c r="E20" s="373"/>
      <c r="F20" s="19"/>
      <c r="G20" s="17"/>
      <c r="H20" s="17"/>
      <c r="I20" s="17"/>
      <c r="J20" s="17"/>
      <c r="K20" s="17"/>
      <c r="L20" s="17"/>
      <c r="M20" s="17"/>
      <c r="N20" s="17"/>
    </row>
    <row r="21" spans="1:14" x14ac:dyDescent="0.25">
      <c r="A21" s="13"/>
      <c r="B21" s="18" t="s">
        <v>19</v>
      </c>
      <c r="C21" s="373" t="s">
        <v>16</v>
      </c>
      <c r="D21" s="373"/>
      <c r="E21" s="37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5.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178" t="s">
        <v>26</v>
      </c>
      <c r="E28" s="178" t="s">
        <v>355</v>
      </c>
      <c r="F28" s="19"/>
      <c r="G28" s="26"/>
      <c r="H28" s="26"/>
      <c r="I28" s="26"/>
      <c r="J28" s="26"/>
      <c r="K28" s="26"/>
      <c r="L28" s="26"/>
      <c r="M28" s="26"/>
      <c r="N28" s="26"/>
    </row>
    <row r="29" spans="1:14" x14ac:dyDescent="0.25">
      <c r="A29" s="13"/>
      <c r="B29" s="23" t="s">
        <v>28</v>
      </c>
      <c r="C29" s="113">
        <v>2555.88</v>
      </c>
      <c r="D29" s="152">
        <v>3235.65</v>
      </c>
      <c r="E29" s="420" t="s">
        <v>265</v>
      </c>
      <c r="F29" s="19"/>
      <c r="G29" s="26"/>
      <c r="H29" s="26"/>
      <c r="I29" s="26"/>
      <c r="J29" s="26"/>
      <c r="K29" s="26"/>
      <c r="L29" s="26"/>
      <c r="M29" s="26"/>
      <c r="N29" s="26"/>
    </row>
    <row r="30" spans="1:14" x14ac:dyDescent="0.25">
      <c r="A30" s="13"/>
      <c r="B30" s="23" t="s">
        <v>29</v>
      </c>
      <c r="C30" s="113">
        <v>176.59</v>
      </c>
      <c r="D30" s="113">
        <v>6.21</v>
      </c>
      <c r="E30" s="421"/>
      <c r="F30" s="19"/>
      <c r="G30" s="26"/>
      <c r="H30" s="26"/>
      <c r="I30" s="26"/>
      <c r="J30" s="26"/>
      <c r="K30" s="26"/>
      <c r="L30" s="26"/>
      <c r="M30" s="26"/>
      <c r="N30" s="26"/>
    </row>
    <row r="31" spans="1:14" x14ac:dyDescent="0.25">
      <c r="A31" s="13"/>
      <c r="B31" s="23" t="s">
        <v>30</v>
      </c>
      <c r="C31" s="113">
        <v>1278.27</v>
      </c>
      <c r="D31" s="113">
        <v>1278.28</v>
      </c>
      <c r="E31" s="421"/>
      <c r="F31" s="19"/>
      <c r="G31" s="26"/>
      <c r="H31" s="26"/>
      <c r="I31" s="26"/>
      <c r="J31" s="26"/>
      <c r="K31" s="26"/>
      <c r="L31" s="26"/>
      <c r="M31" s="26"/>
      <c r="N31" s="26"/>
    </row>
    <row r="32" spans="1:14" x14ac:dyDescent="0.25">
      <c r="A32" s="13"/>
      <c r="B32" s="23" t="s">
        <v>31</v>
      </c>
      <c r="C32" s="113">
        <v>1464.27</v>
      </c>
      <c r="D32" s="152">
        <v>1470.47</v>
      </c>
      <c r="E32" s="422"/>
      <c r="F32" s="19"/>
      <c r="G32" s="26"/>
      <c r="H32" s="26"/>
      <c r="I32" s="26"/>
      <c r="J32" s="26"/>
      <c r="K32" s="26"/>
      <c r="L32" s="26"/>
      <c r="M32" s="26"/>
      <c r="N32" s="26"/>
    </row>
    <row r="33" spans="1:14" x14ac:dyDescent="0.25">
      <c r="A33" s="13"/>
      <c r="B33" s="353" t="s">
        <v>356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27" customHeight="1"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144"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79.5" customHeight="1" x14ac:dyDescent="0.25">
      <c r="A50" s="34"/>
      <c r="B50" s="94" t="s">
        <v>369</v>
      </c>
      <c r="C50" s="94" t="s">
        <v>442</v>
      </c>
      <c r="D50" s="94" t="s">
        <v>751</v>
      </c>
      <c r="E50" s="32" t="s">
        <v>48</v>
      </c>
      <c r="F50" s="26"/>
      <c r="G50" s="26"/>
      <c r="H50" s="26"/>
      <c r="I50" s="26"/>
      <c r="J50" s="26"/>
      <c r="K50" s="26"/>
      <c r="L50" s="26"/>
      <c r="M50" s="26"/>
    </row>
    <row r="51" spans="1:14" x14ac:dyDescent="0.25">
      <c r="A51" s="34"/>
      <c r="B51" s="353" t="s">
        <v>443</v>
      </c>
      <c r="C51" s="354"/>
      <c r="D51" s="354"/>
      <c r="E51" s="355"/>
      <c r="F51" s="26"/>
      <c r="G51" s="26"/>
      <c r="H51" s="26"/>
      <c r="I51" s="26"/>
      <c r="J51" s="26"/>
      <c r="K51" s="26"/>
      <c r="L51" s="26"/>
      <c r="M51" s="26"/>
    </row>
    <row r="52" spans="1:14" x14ac:dyDescent="0.25">
      <c r="A52" s="36"/>
      <c r="B52" s="345" t="s">
        <v>232</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445</v>
      </c>
      <c r="D55" s="395"/>
      <c r="E55" s="396"/>
      <c r="F55" s="26"/>
      <c r="G55" s="26"/>
      <c r="H55" s="26"/>
      <c r="I55" s="26"/>
      <c r="J55" s="26"/>
      <c r="K55" s="2"/>
      <c r="L55" s="26"/>
      <c r="M55" s="26"/>
    </row>
    <row r="56" spans="1:14" ht="30" customHeight="1" x14ac:dyDescent="0.25">
      <c r="A56" s="34"/>
      <c r="B56" s="358"/>
      <c r="C56" s="397"/>
      <c r="D56" s="398"/>
      <c r="E56" s="399"/>
      <c r="F56" s="26"/>
      <c r="G56" s="26"/>
      <c r="H56" s="26"/>
      <c r="I56" s="26"/>
      <c r="J56" s="26"/>
      <c r="K56" s="2"/>
      <c r="L56" s="26"/>
      <c r="M56" s="26"/>
    </row>
    <row r="57" spans="1:14" ht="41.25" customHeight="1" x14ac:dyDescent="0.25">
      <c r="A57" s="29"/>
      <c r="B57" s="39" t="s">
        <v>54</v>
      </c>
      <c r="C57" s="344" t="s">
        <v>752</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444</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51"/>
      <c r="F66" s="51"/>
      <c r="G66" s="51"/>
      <c r="H66" s="15"/>
      <c r="I66" s="15"/>
      <c r="J66" s="15"/>
      <c r="K66" s="15"/>
      <c r="L66" s="15"/>
      <c r="M66" s="15"/>
      <c r="N66" s="15"/>
    </row>
    <row r="67" spans="1:14" x14ac:dyDescent="0.25">
      <c r="A67" s="13"/>
      <c r="B67" s="21" t="s">
        <v>62</v>
      </c>
      <c r="C67" s="23" t="s">
        <v>437</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446</v>
      </c>
      <c r="D69" s="372" t="s">
        <v>405</v>
      </c>
      <c r="E69" s="336" t="s">
        <v>385</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50.4</v>
      </c>
      <c r="D71" s="54">
        <v>103.75</v>
      </c>
      <c r="E71" s="54">
        <v>135</v>
      </c>
      <c r="F71" s="54">
        <v>84.65</v>
      </c>
      <c r="G71" s="54">
        <v>144</v>
      </c>
      <c r="H71" s="53">
        <v>50.4</v>
      </c>
      <c r="I71" s="53">
        <v>37</v>
      </c>
      <c r="J71" s="53">
        <v>90.7</v>
      </c>
      <c r="K71" s="53">
        <v>26.9</v>
      </c>
      <c r="L71" s="53" t="s">
        <v>48</v>
      </c>
      <c r="M71" s="53" t="s">
        <v>48</v>
      </c>
      <c r="N71" s="53" t="s">
        <v>48</v>
      </c>
    </row>
    <row r="72" spans="1:14" ht="25.5" x14ac:dyDescent="0.25">
      <c r="A72" s="4"/>
      <c r="B72" s="21" t="s">
        <v>166</v>
      </c>
      <c r="C72" s="53">
        <v>9653.5</v>
      </c>
      <c r="D72" s="53">
        <v>9615</v>
      </c>
      <c r="E72" s="53">
        <v>9788.6</v>
      </c>
      <c r="F72" s="54">
        <v>10113.700000000001</v>
      </c>
      <c r="G72" s="54">
        <v>11171.55</v>
      </c>
      <c r="H72" s="54">
        <v>9075.15</v>
      </c>
      <c r="I72" s="53">
        <v>11623.9</v>
      </c>
      <c r="J72" s="53">
        <v>11760.2</v>
      </c>
      <c r="K72" s="53">
        <v>10004.549999999999</v>
      </c>
      <c r="L72" s="53" t="s">
        <v>48</v>
      </c>
      <c r="M72" s="53" t="s">
        <v>48</v>
      </c>
      <c r="N72" s="53" t="s">
        <v>48</v>
      </c>
    </row>
    <row r="73" spans="1:14" x14ac:dyDescent="0.25">
      <c r="A73" s="4"/>
      <c r="B73" s="331"/>
      <c r="C73" s="390"/>
      <c r="D73" s="390"/>
      <c r="E73" s="390"/>
      <c r="F73" s="331"/>
      <c r="G73" s="331"/>
      <c r="H73" s="331"/>
      <c r="I73" s="331"/>
      <c r="J73" s="331"/>
      <c r="K73" s="331"/>
      <c r="L73" s="331"/>
      <c r="M73" s="331"/>
      <c r="N73" s="331"/>
    </row>
    <row r="74" spans="1:14" ht="13.5" x14ac:dyDescent="0.25">
      <c r="A74" s="4"/>
      <c r="B74" s="383" t="s">
        <v>750</v>
      </c>
      <c r="C74" s="383"/>
      <c r="D74" s="383"/>
      <c r="E74" s="383"/>
      <c r="F74" s="383"/>
      <c r="G74" s="383"/>
      <c r="H74" s="383"/>
      <c r="I74" s="383"/>
      <c r="J74" s="383"/>
      <c r="K74" s="383"/>
      <c r="L74" s="383"/>
      <c r="M74" s="383"/>
      <c r="N74" s="383"/>
    </row>
    <row r="75" spans="1:14" x14ac:dyDescent="0.25">
      <c r="A75" s="4"/>
      <c r="B75" s="382" t="s">
        <v>79</v>
      </c>
      <c r="C75" s="382"/>
      <c r="D75" s="382"/>
      <c r="E75" s="382"/>
      <c r="F75" s="382"/>
      <c r="G75" s="382"/>
      <c r="H75" s="382"/>
      <c r="I75" s="382"/>
      <c r="J75" s="382"/>
      <c r="K75" s="382"/>
      <c r="L75" s="382"/>
      <c r="M75" s="382"/>
      <c r="N75" s="382"/>
    </row>
    <row r="76" spans="1:14" s="57" customFormat="1" x14ac:dyDescent="0.25">
      <c r="B76" s="382" t="s">
        <v>80</v>
      </c>
      <c r="C76" s="382"/>
      <c r="D76" s="382"/>
      <c r="E76" s="382"/>
      <c r="F76" s="382"/>
      <c r="G76" s="382"/>
      <c r="H76" s="382"/>
      <c r="I76" s="382"/>
      <c r="J76" s="382"/>
      <c r="K76" s="382"/>
      <c r="L76" s="382"/>
      <c r="M76" s="382"/>
      <c r="N76" s="382"/>
    </row>
    <row r="77" spans="1:14" x14ac:dyDescent="0.25">
      <c r="A77" s="4"/>
      <c r="B77" s="382" t="s">
        <v>420</v>
      </c>
      <c r="C77" s="382"/>
      <c r="D77" s="382"/>
      <c r="E77" s="382"/>
      <c r="F77" s="382"/>
      <c r="G77" s="382"/>
      <c r="H77" s="382"/>
      <c r="I77" s="382"/>
      <c r="J77" s="382"/>
      <c r="K77" s="382"/>
      <c r="L77" s="382"/>
      <c r="M77" s="382"/>
      <c r="N77" s="382"/>
    </row>
    <row r="78" spans="1:14" x14ac:dyDescent="0.25">
      <c r="A78" s="4"/>
      <c r="B78" s="382" t="s">
        <v>82</v>
      </c>
      <c r="C78" s="382"/>
      <c r="D78" s="382"/>
      <c r="E78" s="382"/>
      <c r="F78" s="382"/>
      <c r="G78" s="382"/>
      <c r="H78" s="382"/>
      <c r="I78" s="382"/>
      <c r="J78" s="382"/>
      <c r="K78" s="382"/>
      <c r="L78" s="382"/>
      <c r="M78" s="382"/>
      <c r="N78" s="382"/>
    </row>
    <row r="79" spans="1:14" x14ac:dyDescent="0.25">
      <c r="A79" s="4"/>
      <c r="B79" s="58"/>
      <c r="C79" s="58"/>
      <c r="D79" s="58"/>
      <c r="E79" s="58"/>
      <c r="F79" s="58"/>
      <c r="G79" s="17"/>
      <c r="H79" s="17"/>
      <c r="I79" s="17"/>
      <c r="J79" s="17"/>
      <c r="K79" s="17"/>
      <c r="L79" s="17"/>
      <c r="M79" s="17"/>
      <c r="N79" s="17"/>
    </row>
    <row r="80" spans="1:14" x14ac:dyDescent="0.25">
      <c r="A80" s="13">
        <v>13</v>
      </c>
      <c r="B80" s="338" t="s">
        <v>83</v>
      </c>
      <c r="C80" s="339"/>
      <c r="D80" s="339"/>
      <c r="E80" s="339"/>
      <c r="F80" s="339"/>
      <c r="G80" s="340"/>
      <c r="H80" s="15"/>
      <c r="I80" s="15"/>
      <c r="J80" s="15"/>
      <c r="K80" s="15"/>
      <c r="L80" s="15"/>
      <c r="M80" s="15"/>
      <c r="N80" s="15"/>
    </row>
    <row r="81" spans="1:14" x14ac:dyDescent="0.25">
      <c r="A81" s="13"/>
      <c r="B81" s="26"/>
      <c r="C81" s="19"/>
      <c r="D81" s="19"/>
      <c r="E81" s="19"/>
      <c r="F81" s="19"/>
      <c r="G81" s="19"/>
      <c r="H81" s="19"/>
      <c r="I81" s="19"/>
      <c r="J81" s="19"/>
      <c r="K81" s="19"/>
      <c r="L81" s="19"/>
      <c r="M81" s="19"/>
      <c r="N81" s="19"/>
    </row>
    <row r="82" spans="1:14" ht="63.75" x14ac:dyDescent="0.25">
      <c r="A82" s="4"/>
      <c r="B82" s="59" t="s">
        <v>84</v>
      </c>
      <c r="C82" s="22" t="s">
        <v>85</v>
      </c>
      <c r="D82" s="22" t="s">
        <v>86</v>
      </c>
      <c r="E82" s="22" t="s">
        <v>438</v>
      </c>
      <c r="F82" s="22" t="s">
        <v>88</v>
      </c>
      <c r="G82" s="22" t="s">
        <v>169</v>
      </c>
      <c r="H82" s="17"/>
      <c r="I82" s="17"/>
      <c r="J82" s="17"/>
      <c r="K82" s="17"/>
      <c r="L82" s="17"/>
      <c r="M82" s="17"/>
      <c r="N82" s="17"/>
    </row>
    <row r="83" spans="1:14" ht="12.75" customHeight="1" x14ac:dyDescent="0.2">
      <c r="A83" s="4"/>
      <c r="B83" s="316" t="s">
        <v>90</v>
      </c>
      <c r="C83" s="5" t="s">
        <v>447</v>
      </c>
      <c r="D83" s="91">
        <v>4.79</v>
      </c>
      <c r="E83" s="91">
        <v>1.39</v>
      </c>
      <c r="F83" s="176">
        <v>0.05</v>
      </c>
      <c r="G83" s="412" t="s">
        <v>282</v>
      </c>
      <c r="H83" s="62"/>
      <c r="I83" s="62"/>
      <c r="J83" s="62"/>
      <c r="K83" s="62"/>
      <c r="L83" s="62"/>
      <c r="M83" s="62"/>
      <c r="N83" s="62"/>
    </row>
    <row r="84" spans="1:14" x14ac:dyDescent="0.25">
      <c r="A84" s="4"/>
      <c r="B84" s="316"/>
      <c r="C84" s="5" t="s">
        <v>92</v>
      </c>
      <c r="D84" s="92" t="s">
        <v>126</v>
      </c>
      <c r="E84" s="92"/>
      <c r="F84" s="176"/>
      <c r="G84" s="413"/>
      <c r="H84" s="62"/>
      <c r="I84" s="62"/>
      <c r="J84" s="62"/>
      <c r="K84" s="62"/>
      <c r="L84" s="62"/>
      <c r="M84" s="62"/>
      <c r="N84" s="62"/>
    </row>
    <row r="85" spans="1:14" x14ac:dyDescent="0.25">
      <c r="A85" s="4"/>
      <c r="B85" s="316"/>
      <c r="C85" s="25" t="s">
        <v>448</v>
      </c>
      <c r="D85" s="92">
        <v>36.200000000000003</v>
      </c>
      <c r="E85" s="92">
        <v>1.93</v>
      </c>
      <c r="F85" s="176">
        <v>57.63</v>
      </c>
      <c r="G85" s="413"/>
      <c r="H85" s="62"/>
      <c r="I85" s="62"/>
      <c r="J85" s="62"/>
      <c r="K85" s="62"/>
      <c r="L85" s="62"/>
      <c r="M85" s="62"/>
      <c r="N85" s="62"/>
    </row>
    <row r="86" spans="1:14" x14ac:dyDescent="0.25">
      <c r="A86" s="4"/>
      <c r="B86" s="316"/>
      <c r="C86" s="25" t="s">
        <v>449</v>
      </c>
      <c r="D86" s="92">
        <v>26.3</v>
      </c>
      <c r="E86" s="92">
        <v>5</v>
      </c>
      <c r="F86" s="176">
        <v>41.06</v>
      </c>
      <c r="G86" s="413"/>
      <c r="H86" s="62"/>
      <c r="I86" s="62"/>
      <c r="J86" s="62"/>
      <c r="K86" s="62"/>
      <c r="L86" s="62"/>
      <c r="M86" s="62"/>
      <c r="N86" s="62"/>
    </row>
    <row r="87" spans="1:14" x14ac:dyDescent="0.25">
      <c r="A87" s="4"/>
      <c r="B87" s="316"/>
      <c r="C87" s="25" t="s">
        <v>450</v>
      </c>
      <c r="D87" s="92">
        <v>3.8</v>
      </c>
      <c r="E87" s="92">
        <v>4.29</v>
      </c>
      <c r="F87" s="176">
        <v>6.78</v>
      </c>
      <c r="G87" s="413"/>
      <c r="H87" s="62"/>
      <c r="I87" s="62"/>
      <c r="J87" s="62"/>
      <c r="K87" s="62"/>
      <c r="L87" s="62"/>
      <c r="M87" s="62"/>
      <c r="N87" s="62"/>
    </row>
    <row r="88" spans="1:14" x14ac:dyDescent="0.25">
      <c r="A88" s="4"/>
      <c r="B88" s="316"/>
      <c r="C88" s="25" t="s">
        <v>451</v>
      </c>
      <c r="D88" s="92">
        <v>5.6</v>
      </c>
      <c r="E88" s="92">
        <v>9.2200000000000006</v>
      </c>
      <c r="F88" s="176">
        <v>0.75</v>
      </c>
      <c r="G88" s="413"/>
      <c r="H88" s="62"/>
      <c r="I88" s="62"/>
      <c r="J88" s="62"/>
      <c r="K88" s="62"/>
      <c r="L88" s="62"/>
      <c r="M88" s="62"/>
      <c r="N88" s="62"/>
    </row>
    <row r="89" spans="1:14" x14ac:dyDescent="0.25">
      <c r="A89" s="4"/>
      <c r="B89" s="316"/>
      <c r="C89" s="5" t="s">
        <v>93</v>
      </c>
      <c r="D89" s="186">
        <f>SUM(D85:D88)/4</f>
        <v>17.974999999999998</v>
      </c>
      <c r="E89" s="186">
        <f>SUM(E85:E88)/4</f>
        <v>5.1099999999999994</v>
      </c>
      <c r="F89" s="186">
        <f>SUM(F85:F88)/4</f>
        <v>26.555</v>
      </c>
      <c r="G89" s="413"/>
      <c r="H89" s="62"/>
      <c r="I89" s="62"/>
      <c r="J89" s="62"/>
      <c r="K89" s="62"/>
      <c r="L89" s="62"/>
      <c r="M89" s="62"/>
      <c r="N89" s="62"/>
    </row>
    <row r="90" spans="1:14" x14ac:dyDescent="0.2">
      <c r="A90" s="4"/>
      <c r="B90" s="316" t="s">
        <v>94</v>
      </c>
      <c r="C90" s="5" t="s">
        <v>447</v>
      </c>
      <c r="D90" s="93">
        <v>8.77</v>
      </c>
      <c r="E90" s="93">
        <v>60.9</v>
      </c>
      <c r="F90" s="176">
        <f>I71/F83</f>
        <v>740</v>
      </c>
      <c r="G90" s="413"/>
      <c r="H90" s="62"/>
      <c r="I90" s="62"/>
      <c r="J90" s="62"/>
      <c r="K90" s="62"/>
      <c r="L90" s="62"/>
      <c r="M90" s="62"/>
      <c r="N90" s="62"/>
    </row>
    <row r="91" spans="1:14" x14ac:dyDescent="0.25">
      <c r="A91" s="4"/>
      <c r="B91" s="316"/>
      <c r="C91" s="5" t="s">
        <v>92</v>
      </c>
      <c r="D91" s="92" t="s">
        <v>126</v>
      </c>
      <c r="E91" s="92"/>
      <c r="F91" s="176"/>
      <c r="G91" s="413"/>
      <c r="H91" s="62"/>
      <c r="I91" s="62"/>
      <c r="J91" s="62"/>
      <c r="K91" s="62"/>
      <c r="L91" s="62"/>
      <c r="M91" s="62"/>
      <c r="N91" s="62"/>
    </row>
    <row r="92" spans="1:14" x14ac:dyDescent="0.25">
      <c r="A92" s="4"/>
      <c r="B92" s="316"/>
      <c r="C92" s="25" t="s">
        <v>448</v>
      </c>
      <c r="D92" s="92">
        <v>21.8</v>
      </c>
      <c r="E92" s="92">
        <f>1144.2/E85</f>
        <v>592.84974093264248</v>
      </c>
      <c r="F92" s="179">
        <f>1573.1/F85</f>
        <v>27.296546937359011</v>
      </c>
      <c r="G92" s="413"/>
      <c r="H92" s="62"/>
      <c r="I92" s="62"/>
      <c r="J92" s="62"/>
      <c r="K92" s="62"/>
      <c r="L92" s="62"/>
      <c r="M92" s="62"/>
      <c r="N92" s="62"/>
    </row>
    <row r="93" spans="1:14" x14ac:dyDescent="0.25">
      <c r="A93" s="4"/>
      <c r="B93" s="316"/>
      <c r="C93" s="25" t="s">
        <v>449</v>
      </c>
      <c r="D93" s="92">
        <v>14</v>
      </c>
      <c r="E93" s="92">
        <f>605.35/E86</f>
        <v>121.07000000000001</v>
      </c>
      <c r="F93" s="179">
        <f>838.7/F86</f>
        <v>20.426205552849488</v>
      </c>
      <c r="G93" s="413"/>
      <c r="H93" s="62"/>
      <c r="I93" s="62"/>
      <c r="J93" s="62"/>
      <c r="K93" s="62"/>
      <c r="L93" s="62"/>
      <c r="M93" s="62"/>
      <c r="N93" s="62"/>
    </row>
    <row r="94" spans="1:14" x14ac:dyDescent="0.25">
      <c r="A94" s="4"/>
      <c r="B94" s="316"/>
      <c r="C94" s="25" t="s">
        <v>450</v>
      </c>
      <c r="D94" s="92">
        <v>17.71</v>
      </c>
      <c r="E94" s="92">
        <f>85.05/E87</f>
        <v>19.825174825174823</v>
      </c>
      <c r="F94" s="179">
        <f>94.1/F87</f>
        <v>13.879056047197638</v>
      </c>
      <c r="G94" s="413"/>
      <c r="H94" s="62"/>
      <c r="I94" s="62"/>
      <c r="J94" s="62"/>
      <c r="K94" s="62"/>
      <c r="L94" s="62"/>
      <c r="M94" s="62"/>
      <c r="N94" s="62"/>
    </row>
    <row r="95" spans="1:14" x14ac:dyDescent="0.25">
      <c r="A95" s="4"/>
      <c r="B95" s="316"/>
      <c r="C95" s="25" t="s">
        <v>451</v>
      </c>
      <c r="D95" s="92">
        <v>17.399999999999999</v>
      </c>
      <c r="E95" s="92">
        <f>71.05/E88</f>
        <v>7.7060737527114958</v>
      </c>
      <c r="F95" s="179">
        <f>23.4/F88</f>
        <v>31.2</v>
      </c>
      <c r="G95" s="413"/>
      <c r="H95" s="62"/>
      <c r="J95" s="62"/>
      <c r="K95" s="62"/>
      <c r="L95" s="62"/>
      <c r="M95" s="62"/>
      <c r="N95" s="62"/>
    </row>
    <row r="96" spans="1:14" x14ac:dyDescent="0.25">
      <c r="A96" s="4"/>
      <c r="B96" s="316"/>
      <c r="C96" s="5" t="s">
        <v>93</v>
      </c>
      <c r="D96" s="164">
        <f>SUM(D92:D95)/4</f>
        <v>17.727499999999999</v>
      </c>
      <c r="E96" s="164">
        <f>SUM(E92:E95)/4</f>
        <v>185.36274737763222</v>
      </c>
      <c r="F96" s="186">
        <f>SUM(F92:F95)/4</f>
        <v>23.200452134351533</v>
      </c>
      <c r="G96" s="413"/>
      <c r="H96" s="62"/>
      <c r="I96" s="62"/>
      <c r="J96" s="62"/>
      <c r="K96" s="62"/>
      <c r="L96" s="62"/>
      <c r="M96" s="62"/>
      <c r="N96" s="62"/>
    </row>
    <row r="97" spans="1:14" x14ac:dyDescent="0.2">
      <c r="A97" s="4"/>
      <c r="B97" s="316" t="s">
        <v>95</v>
      </c>
      <c r="C97" s="5" t="s">
        <v>447</v>
      </c>
      <c r="D97" s="91">
        <v>24.43</v>
      </c>
      <c r="E97" s="114">
        <v>6.4399999999999999E-2</v>
      </c>
      <c r="F97" s="179">
        <f>6.2/2748.75*100</f>
        <v>0.22555707139608913</v>
      </c>
      <c r="G97" s="413"/>
      <c r="H97" s="62"/>
      <c r="I97" s="62"/>
      <c r="J97" s="62"/>
      <c r="K97" s="62"/>
      <c r="L97" s="62"/>
      <c r="M97" s="62"/>
      <c r="N97" s="62"/>
    </row>
    <row r="98" spans="1:14" x14ac:dyDescent="0.25">
      <c r="A98" s="4"/>
      <c r="B98" s="316"/>
      <c r="C98" s="5" t="s">
        <v>92</v>
      </c>
      <c r="D98" s="92" t="s">
        <v>126</v>
      </c>
      <c r="E98" s="92"/>
      <c r="F98" s="176"/>
      <c r="G98" s="413"/>
      <c r="H98" s="62"/>
      <c r="I98" s="62"/>
      <c r="J98" s="62"/>
      <c r="K98" s="62"/>
      <c r="L98" s="62"/>
      <c r="M98" s="62"/>
      <c r="N98" s="62"/>
    </row>
    <row r="99" spans="1:14" x14ac:dyDescent="0.25">
      <c r="A99" s="4"/>
      <c r="B99" s="316"/>
      <c r="C99" s="25" t="s">
        <v>448</v>
      </c>
      <c r="D99" s="92">
        <v>25.52</v>
      </c>
      <c r="E99" s="182">
        <f>34613/151517*100</f>
        <v>22.844301299524144</v>
      </c>
      <c r="F99" s="179">
        <f>46930/268492*100</f>
        <v>17.479105522697139</v>
      </c>
      <c r="G99" s="413"/>
      <c r="H99" s="62"/>
      <c r="I99" s="62"/>
      <c r="J99" s="62"/>
      <c r="K99" s="62"/>
      <c r="L99" s="62"/>
      <c r="M99" s="62"/>
      <c r="N99" s="62"/>
    </row>
    <row r="100" spans="1:14" x14ac:dyDescent="0.25">
      <c r="A100" s="4"/>
      <c r="B100" s="316"/>
      <c r="C100" s="25" t="s">
        <v>449</v>
      </c>
      <c r="D100" s="92">
        <v>26.64</v>
      </c>
      <c r="E100" s="182">
        <f>6428.9/29715.35*100</f>
        <v>21.634946248319469</v>
      </c>
      <c r="F100" s="179">
        <f>8374.45/36499.3*100</f>
        <v>22.944138654713928</v>
      </c>
      <c r="G100" s="413"/>
      <c r="H100" s="62"/>
      <c r="I100" s="62"/>
      <c r="J100" s="62"/>
      <c r="K100" s="62"/>
      <c r="L100" s="62"/>
      <c r="M100" s="62"/>
      <c r="N100" s="62"/>
    </row>
    <row r="101" spans="1:14" x14ac:dyDescent="0.25">
      <c r="A101" s="4"/>
      <c r="B101" s="316"/>
      <c r="C101" s="25" t="s">
        <v>450</v>
      </c>
      <c r="D101" s="92">
        <v>18.54</v>
      </c>
      <c r="E101" s="182">
        <f>1470.07/7725.77*100</f>
        <v>19.02813570686158</v>
      </c>
      <c r="F101" s="179">
        <f>2273.95/9615.28*100</f>
        <v>23.649337304789871</v>
      </c>
      <c r="G101" s="413"/>
      <c r="H101" s="62"/>
      <c r="I101" s="62"/>
      <c r="J101" s="62"/>
      <c r="K101" s="62"/>
      <c r="L101" s="62"/>
      <c r="M101" s="62"/>
      <c r="N101" s="62"/>
    </row>
    <row r="102" spans="1:14" x14ac:dyDescent="0.25">
      <c r="A102" s="4"/>
      <c r="B102" s="316"/>
      <c r="C102" s="25" t="s">
        <v>451</v>
      </c>
      <c r="D102" s="92">
        <v>2.2000000000000002</v>
      </c>
      <c r="E102" s="182">
        <f>7794.24/56740.95*100</f>
        <v>13.736534196202212</v>
      </c>
      <c r="F102" s="179">
        <f>618.55/57262*100</f>
        <v>1.0802102616045544</v>
      </c>
      <c r="G102" s="413"/>
      <c r="H102" s="62"/>
      <c r="I102" s="62"/>
      <c r="J102" s="62"/>
      <c r="K102" s="62"/>
      <c r="L102" s="62"/>
      <c r="M102" s="62"/>
      <c r="N102" s="62"/>
    </row>
    <row r="103" spans="1:14" x14ac:dyDescent="0.25">
      <c r="A103" s="4"/>
      <c r="B103" s="316"/>
      <c r="C103" s="5" t="s">
        <v>93</v>
      </c>
      <c r="D103" s="164">
        <f>SUM(D99:D102)/4</f>
        <v>18.224999999999998</v>
      </c>
      <c r="E103" s="164">
        <f>SUM(E99:E102)/4</f>
        <v>19.310979362726851</v>
      </c>
      <c r="F103" s="164">
        <f>SUM(F99:F102)/4</f>
        <v>16.28819793595137</v>
      </c>
      <c r="G103" s="413"/>
      <c r="H103" s="62"/>
      <c r="I103" s="62"/>
      <c r="J103" s="62"/>
      <c r="K103" s="66"/>
      <c r="L103" s="62"/>
      <c r="M103" s="62"/>
      <c r="N103" s="62"/>
    </row>
    <row r="104" spans="1:14" x14ac:dyDescent="0.2">
      <c r="A104" s="4"/>
      <c r="B104" s="316" t="s">
        <v>96</v>
      </c>
      <c r="C104" s="5" t="s">
        <v>447</v>
      </c>
      <c r="D104" s="91">
        <v>19.59</v>
      </c>
      <c r="E104" s="91">
        <v>21.45</v>
      </c>
      <c r="F104" s="179">
        <f>2748.75*100000/12782800</f>
        <v>21.503504709453328</v>
      </c>
      <c r="G104" s="413"/>
      <c r="H104" s="62"/>
      <c r="I104" s="62"/>
      <c r="J104" s="62"/>
      <c r="K104" s="62"/>
      <c r="L104" s="62"/>
      <c r="M104" s="62"/>
      <c r="N104" s="62"/>
    </row>
    <row r="105" spans="1:14" x14ac:dyDescent="0.25">
      <c r="A105" s="4"/>
      <c r="B105" s="316"/>
      <c r="C105" s="5" t="s">
        <v>92</v>
      </c>
      <c r="D105" s="92" t="s">
        <v>126</v>
      </c>
      <c r="E105" s="92"/>
      <c r="F105" s="176"/>
      <c r="G105" s="413"/>
      <c r="H105" s="62"/>
      <c r="I105" s="62"/>
      <c r="J105" s="62"/>
      <c r="K105" s="62"/>
      <c r="L105" s="62"/>
      <c r="M105" s="62"/>
      <c r="N105" s="62"/>
    </row>
    <row r="106" spans="1:14" x14ac:dyDescent="0.25">
      <c r="A106" s="4"/>
      <c r="B106" s="386"/>
      <c r="C106" s="25" t="s">
        <v>448</v>
      </c>
      <c r="D106" s="92">
        <v>128.4</v>
      </c>
      <c r="E106" s="92">
        <f>151517/406.5</f>
        <v>372.73554735547356</v>
      </c>
      <c r="F106" s="179">
        <f>268492*100000/43330000</f>
        <v>619.64458804523429</v>
      </c>
      <c r="G106" s="413"/>
      <c r="H106" s="62"/>
      <c r="I106" s="62"/>
      <c r="J106" s="62"/>
      <c r="K106" s="62"/>
      <c r="L106" s="62"/>
      <c r="M106" s="62"/>
      <c r="N106" s="62"/>
    </row>
    <row r="107" spans="1:14" x14ac:dyDescent="0.25">
      <c r="A107" s="4"/>
      <c r="B107" s="386"/>
      <c r="C107" s="25" t="s">
        <v>449</v>
      </c>
      <c r="D107" s="92">
        <v>97.8</v>
      </c>
      <c r="E107" s="92">
        <f>29715.35/204.12</f>
        <v>145.57784636488338</v>
      </c>
      <c r="F107" s="179">
        <f>36499.5*100000/10206000</f>
        <v>357.62786596119929</v>
      </c>
      <c r="G107" s="413"/>
      <c r="H107" s="62"/>
      <c r="I107" s="62"/>
      <c r="J107" s="62"/>
      <c r="K107" s="62"/>
      <c r="L107" s="62"/>
      <c r="M107" s="62"/>
      <c r="N107" s="62"/>
    </row>
    <row r="108" spans="1:14" x14ac:dyDescent="0.25">
      <c r="A108" s="4"/>
      <c r="B108" s="386"/>
      <c r="C108" s="25" t="s">
        <v>450</v>
      </c>
      <c r="D108" s="92">
        <v>14.8</v>
      </c>
      <c r="E108" s="92">
        <f>7725.77/333.48</f>
        <v>23.167116468753747</v>
      </c>
      <c r="F108" s="179">
        <f>9615.28*100000/33348800</f>
        <v>28.832461737753686</v>
      </c>
      <c r="G108" s="413"/>
      <c r="H108" s="62"/>
      <c r="I108" s="62"/>
      <c r="J108" s="62"/>
      <c r="K108" s="62"/>
      <c r="L108" s="62"/>
      <c r="M108" s="62"/>
      <c r="N108" s="62"/>
    </row>
    <row r="109" spans="1:14" x14ac:dyDescent="0.25">
      <c r="A109" s="4"/>
      <c r="B109" s="386"/>
      <c r="C109" s="25" t="s">
        <v>451</v>
      </c>
      <c r="D109" s="92">
        <v>45.5</v>
      </c>
      <c r="E109" s="92">
        <f>56740.95/1650</f>
        <v>34.388454545454543</v>
      </c>
      <c r="F109" s="179">
        <f>57262*100000/16504800</f>
        <v>346.94149580728032</v>
      </c>
      <c r="G109" s="413"/>
      <c r="H109" s="62"/>
      <c r="I109" s="62"/>
      <c r="J109" s="62"/>
      <c r="K109" s="62"/>
      <c r="L109" s="62"/>
      <c r="M109" s="62"/>
      <c r="N109" s="62"/>
    </row>
    <row r="110" spans="1:14" x14ac:dyDescent="0.25">
      <c r="A110" s="4"/>
      <c r="B110" s="386"/>
      <c r="C110" s="5" t="s">
        <v>93</v>
      </c>
      <c r="D110" s="164">
        <v>61.22</v>
      </c>
      <c r="E110" s="164">
        <v>119.47</v>
      </c>
      <c r="F110" s="186">
        <f>SUM(F106:F109)/4</f>
        <v>338.2616028878669</v>
      </c>
      <c r="G110" s="413"/>
      <c r="H110" s="62"/>
      <c r="I110" s="62"/>
      <c r="J110" s="62"/>
      <c r="K110" s="62"/>
      <c r="L110" s="62"/>
      <c r="M110" s="62"/>
      <c r="N110" s="62"/>
    </row>
    <row r="111" spans="1:14" s="57" customFormat="1" x14ac:dyDescent="0.25">
      <c r="B111" s="387"/>
      <c r="C111" s="388"/>
      <c r="D111" s="388"/>
      <c r="E111" s="388"/>
      <c r="F111" s="388"/>
      <c r="G111" s="389"/>
    </row>
    <row r="112" spans="1:14" x14ac:dyDescent="0.25">
      <c r="A112" s="4"/>
      <c r="B112" s="376" t="s">
        <v>452</v>
      </c>
      <c r="C112" s="377"/>
      <c r="D112" s="377"/>
      <c r="E112" s="377"/>
      <c r="F112" s="377"/>
      <c r="G112" s="378"/>
      <c r="H112" s="62"/>
      <c r="I112" s="62"/>
      <c r="J112" s="62"/>
      <c r="K112" s="62"/>
      <c r="L112" s="62"/>
      <c r="M112" s="62"/>
      <c r="N112" s="62"/>
    </row>
    <row r="113" spans="1:14" x14ac:dyDescent="0.25">
      <c r="A113" s="4"/>
      <c r="B113" s="379" t="s">
        <v>128</v>
      </c>
      <c r="C113" s="380"/>
      <c r="D113" s="380"/>
      <c r="E113" s="380"/>
      <c r="F113" s="380"/>
      <c r="G113" s="381"/>
      <c r="H113" s="62"/>
      <c r="I113" s="62"/>
      <c r="J113" s="62"/>
      <c r="K113" s="62"/>
      <c r="L113" s="62"/>
      <c r="M113" s="62"/>
      <c r="N113" s="62"/>
    </row>
    <row r="114" spans="1:14" x14ac:dyDescent="0.25">
      <c r="A114" s="4"/>
      <c r="B114" s="353" t="s">
        <v>366</v>
      </c>
      <c r="C114" s="354"/>
      <c r="D114" s="354"/>
      <c r="E114" s="354"/>
      <c r="F114" s="354"/>
      <c r="G114" s="355"/>
      <c r="H114" s="62"/>
      <c r="I114" s="62"/>
      <c r="J114" s="62"/>
      <c r="K114" s="62"/>
      <c r="L114" s="62"/>
      <c r="M114" s="62"/>
      <c r="N114" s="62"/>
    </row>
    <row r="115" spans="1:14" x14ac:dyDescent="0.25">
      <c r="A115" s="26"/>
      <c r="B115" s="12"/>
      <c r="C115" s="323"/>
      <c r="D115" s="323"/>
      <c r="E115" s="323"/>
      <c r="F115" s="323"/>
      <c r="G115" s="323"/>
      <c r="H115" s="62"/>
      <c r="I115" s="62"/>
      <c r="J115" s="26"/>
      <c r="K115" s="26"/>
      <c r="L115" s="26"/>
      <c r="M115" s="26"/>
      <c r="N115" s="26"/>
    </row>
    <row r="116" spans="1:14" x14ac:dyDescent="0.25">
      <c r="A116" s="13">
        <v>14</v>
      </c>
      <c r="B116" s="70" t="s">
        <v>99</v>
      </c>
      <c r="C116" s="324" t="s">
        <v>48</v>
      </c>
      <c r="D116" s="325"/>
      <c r="E116" s="325"/>
      <c r="F116" s="325"/>
      <c r="G116" s="326"/>
      <c r="H116" s="26"/>
      <c r="I116" s="26"/>
      <c r="J116" s="26"/>
      <c r="K116" s="26"/>
      <c r="L116" s="26"/>
      <c r="M116" s="26"/>
      <c r="N116" s="26"/>
    </row>
    <row r="117" spans="1:14" x14ac:dyDescent="0.25">
      <c r="A117" s="71"/>
      <c r="B117" s="26"/>
      <c r="C117" s="84"/>
      <c r="D117" s="84"/>
      <c r="E117" s="84"/>
      <c r="F117" s="84"/>
      <c r="G117" s="84"/>
      <c r="H117" s="26"/>
      <c r="I117" s="26"/>
      <c r="J117" s="26"/>
      <c r="K117" s="26"/>
      <c r="L117" s="26"/>
      <c r="M117" s="26"/>
      <c r="N117" s="26"/>
    </row>
    <row r="118" spans="1:14" x14ac:dyDescent="0.25">
      <c r="A118" s="26"/>
      <c r="B118" s="374" t="s">
        <v>453</v>
      </c>
      <c r="C118" s="375"/>
      <c r="D118" s="375"/>
      <c r="E118" s="375"/>
      <c r="F118" s="375"/>
      <c r="G118" s="375"/>
      <c r="H118" s="375"/>
      <c r="I118" s="26"/>
      <c r="J118" s="26"/>
      <c r="K118" s="26"/>
      <c r="L118" s="26"/>
      <c r="M118" s="26"/>
      <c r="N118" s="26"/>
    </row>
    <row r="119" spans="1:14" x14ac:dyDescent="0.25">
      <c r="A119" s="26"/>
      <c r="I119" s="26"/>
      <c r="J119" s="26"/>
      <c r="K119" s="26"/>
      <c r="L119" s="26"/>
      <c r="M119" s="26"/>
      <c r="N119" s="26"/>
    </row>
    <row r="120" spans="1:14" x14ac:dyDescent="0.25">
      <c r="A120" s="26"/>
      <c r="J120" s="26"/>
      <c r="K120" s="26"/>
      <c r="L120" s="26"/>
      <c r="M120" s="26"/>
      <c r="N120" s="26"/>
    </row>
  </sheetData>
  <sheetProtection password="E9DF" sheet="1" objects="1" scenarios="1"/>
  <mergeCells count="62">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6:N76"/>
    <mergeCell ref="C63:E63"/>
    <mergeCell ref="B69:B70"/>
    <mergeCell ref="C69:C70"/>
    <mergeCell ref="D69:D70"/>
    <mergeCell ref="E69:E70"/>
    <mergeCell ref="F69:H69"/>
    <mergeCell ref="I69:K69"/>
    <mergeCell ref="L69:N69"/>
    <mergeCell ref="B73:N73"/>
    <mergeCell ref="B74:N74"/>
    <mergeCell ref="B75:N75"/>
    <mergeCell ref="B77:N77"/>
    <mergeCell ref="B78:N78"/>
    <mergeCell ref="B80:G80"/>
    <mergeCell ref="B83:B89"/>
    <mergeCell ref="G83:G110"/>
    <mergeCell ref="B90:B96"/>
    <mergeCell ref="B97:B103"/>
    <mergeCell ref="B104:B110"/>
    <mergeCell ref="B118:H118"/>
    <mergeCell ref="B111:G111"/>
    <mergeCell ref="B112:G112"/>
    <mergeCell ref="B113:G113"/>
    <mergeCell ref="B114:G114"/>
    <mergeCell ref="C115:G115"/>
    <mergeCell ref="C116:G11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topLeftCell="A42" workbookViewId="0">
      <selection activeCell="I72" sqref="I72:K72"/>
    </sheetView>
  </sheetViews>
  <sheetFormatPr defaultColWidth="8.85546875" defaultRowHeight="12.75" x14ac:dyDescent="0.25"/>
  <cols>
    <col min="1" max="1" width="8.85546875" style="73"/>
    <col min="2"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454</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455</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456</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429</v>
      </c>
      <c r="C19" s="373" t="s">
        <v>16</v>
      </c>
      <c r="D19" s="373"/>
      <c r="E19" s="37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178" t="s">
        <v>324</v>
      </c>
      <c r="D28" s="22" t="s">
        <v>26</v>
      </c>
      <c r="E28" s="178" t="s">
        <v>355</v>
      </c>
      <c r="F28" s="19"/>
      <c r="G28" s="26"/>
      <c r="H28" s="26"/>
      <c r="I28" s="26"/>
      <c r="J28" s="26"/>
      <c r="K28" s="26"/>
      <c r="L28" s="26"/>
      <c r="M28" s="26"/>
      <c r="N28" s="26"/>
    </row>
    <row r="29" spans="1:14" x14ac:dyDescent="0.25">
      <c r="A29" s="13"/>
      <c r="B29" s="23" t="s">
        <v>28</v>
      </c>
      <c r="C29" s="145">
        <v>24272.42</v>
      </c>
      <c r="D29" s="176">
        <v>25962.31</v>
      </c>
      <c r="E29" s="420" t="s">
        <v>265</v>
      </c>
      <c r="F29" s="19"/>
      <c r="G29" s="26"/>
      <c r="H29" s="26"/>
      <c r="I29" s="26"/>
      <c r="J29" s="26"/>
      <c r="K29" s="26"/>
      <c r="L29" s="26"/>
      <c r="M29" s="26"/>
      <c r="N29" s="26"/>
    </row>
    <row r="30" spans="1:14" x14ac:dyDescent="0.25">
      <c r="A30" s="13"/>
      <c r="B30" s="23" t="s">
        <v>29</v>
      </c>
      <c r="C30" s="145">
        <v>330.35</v>
      </c>
      <c r="D30" s="176">
        <v>373.95</v>
      </c>
      <c r="E30" s="421"/>
      <c r="F30" s="19"/>
      <c r="G30" s="26"/>
      <c r="H30" s="26"/>
      <c r="I30" s="26"/>
      <c r="J30" s="26"/>
      <c r="K30" s="26"/>
      <c r="L30" s="26"/>
      <c r="M30" s="26"/>
      <c r="N30" s="26"/>
    </row>
    <row r="31" spans="1:14" x14ac:dyDescent="0.25">
      <c r="A31" s="13"/>
      <c r="B31" s="23" t="s">
        <v>30</v>
      </c>
      <c r="C31" s="145">
        <v>1007.61</v>
      </c>
      <c r="D31" s="176">
        <v>1007.61</v>
      </c>
      <c r="E31" s="421"/>
      <c r="F31" s="19"/>
      <c r="G31" s="26"/>
      <c r="H31" s="26"/>
      <c r="I31" s="26"/>
      <c r="J31" s="26"/>
      <c r="K31" s="26"/>
      <c r="L31" s="26"/>
      <c r="M31" s="26"/>
      <c r="N31" s="26"/>
    </row>
    <row r="32" spans="1:14" x14ac:dyDescent="0.25">
      <c r="A32" s="13"/>
      <c r="B32" s="23" t="s">
        <v>31</v>
      </c>
      <c r="C32" s="145">
        <v>1635.21</v>
      </c>
      <c r="D32" s="176">
        <v>2856.22</v>
      </c>
      <c r="E32" s="422"/>
      <c r="F32" s="19"/>
      <c r="G32" s="26"/>
      <c r="H32" s="26"/>
      <c r="I32" s="26"/>
      <c r="J32" s="26"/>
      <c r="K32" s="26"/>
      <c r="L32" s="26"/>
      <c r="M32" s="26"/>
      <c r="N32" s="26"/>
    </row>
    <row r="33" spans="1:14" x14ac:dyDescent="0.25">
      <c r="A33" s="13"/>
      <c r="B33" s="353" t="s">
        <v>356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145"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369</v>
      </c>
      <c r="C50" s="94" t="s">
        <v>457</v>
      </c>
      <c r="D50" s="33"/>
      <c r="E50" s="32"/>
      <c r="F50" s="26"/>
      <c r="G50" s="26"/>
      <c r="H50" s="26"/>
      <c r="I50" s="26"/>
      <c r="J50" s="26"/>
      <c r="K50" s="26"/>
      <c r="L50" s="26"/>
      <c r="M50" s="26"/>
    </row>
    <row r="51" spans="1:14" x14ac:dyDescent="0.25">
      <c r="A51" s="34"/>
      <c r="B51" s="353" t="s">
        <v>458</v>
      </c>
      <c r="C51" s="354"/>
      <c r="D51" s="354"/>
      <c r="E51" s="355"/>
      <c r="F51" s="26"/>
      <c r="G51" s="26"/>
      <c r="H51" s="26"/>
      <c r="I51" s="26"/>
      <c r="J51" s="26"/>
      <c r="K51" s="26"/>
      <c r="L51" s="26"/>
      <c r="M51" s="26"/>
    </row>
    <row r="52" spans="1:14" x14ac:dyDescent="0.25">
      <c r="A52" s="36"/>
      <c r="B52" s="345" t="s">
        <v>459</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460</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248</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459</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353" t="s">
        <v>458</v>
      </c>
      <c r="C61" s="354"/>
      <c r="D61" s="354"/>
      <c r="E61" s="355"/>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461</v>
      </c>
      <c r="D67" s="19"/>
      <c r="E67" s="52"/>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462</v>
      </c>
      <c r="D69" s="372" t="s">
        <v>333</v>
      </c>
      <c r="E69" s="336" t="s">
        <v>294</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165</v>
      </c>
      <c r="C71" s="53">
        <v>51</v>
      </c>
      <c r="D71" s="54">
        <v>52</v>
      </c>
      <c r="E71" s="54">
        <v>47</v>
      </c>
      <c r="F71" s="54">
        <v>45</v>
      </c>
      <c r="G71" s="54">
        <v>60.6</v>
      </c>
      <c r="H71" s="53">
        <v>40.1</v>
      </c>
      <c r="I71" s="53">
        <v>34.65</v>
      </c>
      <c r="J71" s="53">
        <v>52</v>
      </c>
      <c r="K71" s="53">
        <v>23.65</v>
      </c>
      <c r="L71" s="53" t="s">
        <v>48</v>
      </c>
      <c r="M71" s="53" t="s">
        <v>48</v>
      </c>
      <c r="N71" s="53" t="s">
        <v>48</v>
      </c>
    </row>
    <row r="72" spans="1:14" ht="25.5" x14ac:dyDescent="0.2">
      <c r="A72" s="4"/>
      <c r="B72" s="21" t="s">
        <v>166</v>
      </c>
      <c r="C72" s="53">
        <v>9574.9500000000007</v>
      </c>
      <c r="D72" s="53">
        <v>9966.4</v>
      </c>
      <c r="E72" s="53">
        <v>10121.9</v>
      </c>
      <c r="F72" s="54">
        <v>10113.700000000001</v>
      </c>
      <c r="G72" s="54">
        <v>11171.55</v>
      </c>
      <c r="H72" s="56">
        <v>9075.15</v>
      </c>
      <c r="I72" s="53">
        <v>11623.9</v>
      </c>
      <c r="J72" s="53">
        <v>11760.2</v>
      </c>
      <c r="K72" s="53">
        <v>10004.549999999999</v>
      </c>
      <c r="L72" s="53" t="s">
        <v>48</v>
      </c>
      <c r="M72" s="53" t="s">
        <v>48</v>
      </c>
      <c r="N72" s="53" t="s">
        <v>48</v>
      </c>
    </row>
    <row r="73" spans="1:14" ht="13.5" x14ac:dyDescent="0.25">
      <c r="A73" s="4"/>
      <c r="B73" s="383" t="s">
        <v>156</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420</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102" x14ac:dyDescent="0.25">
      <c r="A81" s="4"/>
      <c r="B81" s="59" t="s">
        <v>84</v>
      </c>
      <c r="C81" s="22" t="s">
        <v>85</v>
      </c>
      <c r="D81" s="22" t="s">
        <v>86</v>
      </c>
      <c r="E81" s="22" t="s">
        <v>438</v>
      </c>
      <c r="F81" s="22" t="s">
        <v>88</v>
      </c>
      <c r="G81" s="22" t="s">
        <v>169</v>
      </c>
      <c r="H81" s="17"/>
      <c r="I81" s="17"/>
      <c r="J81" s="17"/>
      <c r="K81" s="17"/>
      <c r="L81" s="17"/>
      <c r="M81" s="17"/>
      <c r="N81" s="17"/>
    </row>
    <row r="82" spans="1:14" ht="12.75" customHeight="1" x14ac:dyDescent="0.2">
      <c r="A82" s="4"/>
      <c r="B82" s="316" t="s">
        <v>90</v>
      </c>
      <c r="C82" s="5" t="s">
        <v>463</v>
      </c>
      <c r="D82" s="91">
        <v>3.73</v>
      </c>
      <c r="E82" s="187">
        <v>3.39</v>
      </c>
      <c r="F82" s="179">
        <v>3.71</v>
      </c>
      <c r="G82" s="412" t="s">
        <v>282</v>
      </c>
      <c r="H82" s="62"/>
      <c r="I82" s="62"/>
      <c r="J82" s="62"/>
      <c r="K82" s="62"/>
      <c r="L82" s="62"/>
      <c r="M82" s="62"/>
      <c r="N82" s="62"/>
    </row>
    <row r="83" spans="1:14" x14ac:dyDescent="0.25">
      <c r="A83" s="4"/>
      <c r="B83" s="316"/>
      <c r="C83" s="5" t="s">
        <v>92</v>
      </c>
      <c r="D83" s="92" t="s">
        <v>126</v>
      </c>
      <c r="E83" s="188"/>
      <c r="F83" s="176"/>
      <c r="G83" s="413"/>
      <c r="H83" s="62"/>
      <c r="I83" s="62"/>
      <c r="J83" s="62"/>
      <c r="K83" s="62"/>
      <c r="L83" s="62"/>
      <c r="M83" s="62"/>
      <c r="N83" s="62"/>
    </row>
    <row r="84" spans="1:14" x14ac:dyDescent="0.25">
      <c r="A84" s="4"/>
      <c r="B84" s="316"/>
      <c r="C84" s="25" t="s">
        <v>464</v>
      </c>
      <c r="D84" s="92">
        <v>7.82</v>
      </c>
      <c r="E84" s="188">
        <v>29.31</v>
      </c>
      <c r="F84" s="176" t="s">
        <v>126</v>
      </c>
      <c r="G84" s="413"/>
      <c r="H84" s="62"/>
      <c r="I84" s="62"/>
      <c r="J84" s="62"/>
      <c r="K84" s="62"/>
      <c r="L84" s="62"/>
      <c r="M84" s="62"/>
      <c r="N84" s="62"/>
    </row>
    <row r="85" spans="1:14" x14ac:dyDescent="0.25">
      <c r="A85" s="4"/>
      <c r="B85" s="316"/>
      <c r="C85" s="25" t="s">
        <v>465</v>
      </c>
      <c r="D85" s="92">
        <v>3.36</v>
      </c>
      <c r="E85" s="188">
        <v>98.51</v>
      </c>
      <c r="F85" s="176">
        <v>8.15</v>
      </c>
      <c r="G85" s="413"/>
      <c r="H85" s="62"/>
      <c r="I85" s="62"/>
      <c r="J85" s="62"/>
      <c r="K85" s="62"/>
      <c r="L85" s="62"/>
      <c r="M85" s="62"/>
      <c r="N85" s="62"/>
    </row>
    <row r="86" spans="1:14" x14ac:dyDescent="0.25">
      <c r="A86" s="4"/>
      <c r="B86" s="316"/>
      <c r="C86" s="25" t="s">
        <v>466</v>
      </c>
      <c r="D86" s="92">
        <v>69.19</v>
      </c>
      <c r="E86" s="188">
        <v>59.38</v>
      </c>
      <c r="F86" s="176">
        <v>65.17</v>
      </c>
      <c r="G86" s="413"/>
      <c r="H86" s="62"/>
      <c r="I86" s="62"/>
      <c r="J86" s="62"/>
      <c r="K86" s="62"/>
      <c r="L86" s="62"/>
      <c r="M86" s="62"/>
      <c r="N86" s="62"/>
    </row>
    <row r="87" spans="1:14" x14ac:dyDescent="0.25">
      <c r="A87" s="4"/>
      <c r="B87" s="316"/>
      <c r="C87" s="25" t="s">
        <v>467</v>
      </c>
      <c r="D87" s="92">
        <v>1.21</v>
      </c>
      <c r="E87" s="188">
        <v>2.59</v>
      </c>
      <c r="F87" s="176">
        <v>3.15</v>
      </c>
      <c r="G87" s="413"/>
      <c r="H87" s="62"/>
      <c r="I87" s="62"/>
      <c r="J87" s="62"/>
      <c r="K87" s="62"/>
      <c r="L87" s="62"/>
      <c r="M87" s="62"/>
      <c r="N87" s="62"/>
    </row>
    <row r="88" spans="1:14" x14ac:dyDescent="0.25">
      <c r="A88" s="4"/>
      <c r="B88" s="316"/>
      <c r="C88" s="25" t="s">
        <v>468</v>
      </c>
      <c r="D88" s="92">
        <v>22.45</v>
      </c>
      <c r="E88" s="188">
        <v>19</v>
      </c>
      <c r="F88" s="176">
        <v>27.25</v>
      </c>
      <c r="G88" s="413"/>
      <c r="H88" s="62"/>
      <c r="I88" s="62"/>
      <c r="J88" s="62"/>
      <c r="K88" s="62"/>
      <c r="L88" s="62"/>
      <c r="M88" s="62"/>
      <c r="N88" s="62"/>
    </row>
    <row r="89" spans="1:14" x14ac:dyDescent="0.25">
      <c r="A89" s="4"/>
      <c r="B89" s="316"/>
      <c r="C89" s="5" t="s">
        <v>93</v>
      </c>
      <c r="D89" s="193">
        <f>SUM(D84:D88)/5</f>
        <v>20.806000000000001</v>
      </c>
      <c r="E89" s="193">
        <f>SUM(E84:E88)/5</f>
        <v>41.758000000000003</v>
      </c>
      <c r="F89" s="193">
        <f>SUM(F84:F88)/5</f>
        <v>20.744000000000003</v>
      </c>
      <c r="G89" s="413"/>
      <c r="H89" s="62"/>
      <c r="I89" s="62"/>
      <c r="J89" s="62"/>
      <c r="K89" s="62"/>
      <c r="L89" s="62"/>
      <c r="M89" s="62"/>
      <c r="N89" s="62"/>
    </row>
    <row r="90" spans="1:14" x14ac:dyDescent="0.2">
      <c r="A90" s="4"/>
      <c r="B90" s="316" t="s">
        <v>94</v>
      </c>
      <c r="C90" s="5" t="s">
        <v>463</v>
      </c>
      <c r="D90" s="93">
        <v>13.67</v>
      </c>
      <c r="E90" s="189">
        <f>F71/E82</f>
        <v>13.274336283185841</v>
      </c>
      <c r="F90" s="179">
        <f>I71/F82</f>
        <v>9.3396226415094343</v>
      </c>
      <c r="G90" s="413"/>
      <c r="H90" s="62"/>
      <c r="I90" s="62"/>
      <c r="J90" s="62"/>
      <c r="K90" s="62"/>
      <c r="L90" s="62"/>
      <c r="M90" s="62"/>
      <c r="N90" s="62"/>
    </row>
    <row r="91" spans="1:14" x14ac:dyDescent="0.25">
      <c r="A91" s="4"/>
      <c r="B91" s="316"/>
      <c r="C91" s="5" t="s">
        <v>92</v>
      </c>
      <c r="D91" s="92" t="s">
        <v>126</v>
      </c>
      <c r="E91" s="188"/>
      <c r="F91" s="176"/>
      <c r="G91" s="413"/>
      <c r="H91" s="62"/>
      <c r="I91" s="62"/>
      <c r="J91" s="62"/>
      <c r="K91" s="62"/>
      <c r="L91" s="62"/>
      <c r="M91" s="62"/>
      <c r="N91" s="62"/>
    </row>
    <row r="92" spans="1:14" x14ac:dyDescent="0.25">
      <c r="A92" s="4"/>
      <c r="B92" s="316"/>
      <c r="C92" s="25" t="s">
        <v>464</v>
      </c>
      <c r="D92" s="92">
        <v>51.59</v>
      </c>
      <c r="E92" s="188">
        <f>450.25/E84</f>
        <v>15.361651313544867</v>
      </c>
      <c r="F92" s="176" t="s">
        <v>126</v>
      </c>
      <c r="G92" s="413"/>
      <c r="H92" s="62"/>
      <c r="I92" s="62"/>
      <c r="J92" s="62"/>
      <c r="K92" s="62"/>
      <c r="L92" s="62"/>
      <c r="M92" s="62"/>
      <c r="N92" s="62"/>
    </row>
    <row r="93" spans="1:14" x14ac:dyDescent="0.25">
      <c r="A93" s="4"/>
      <c r="B93" s="316"/>
      <c r="C93" s="25" t="s">
        <v>465</v>
      </c>
      <c r="D93" s="92">
        <v>35.74</v>
      </c>
      <c r="E93" s="188">
        <f>182.25/E85</f>
        <v>1.8500659831489188</v>
      </c>
      <c r="F93" s="179">
        <f>135.2/F85</f>
        <v>16.588957055214721</v>
      </c>
      <c r="G93" s="413"/>
      <c r="H93" s="62"/>
      <c r="I93" s="62"/>
      <c r="J93" s="62"/>
      <c r="K93" s="62"/>
      <c r="L93" s="62"/>
      <c r="M93" s="62"/>
      <c r="N93" s="62"/>
    </row>
    <row r="94" spans="1:14" x14ac:dyDescent="0.25">
      <c r="A94" s="4"/>
      <c r="B94" s="316"/>
      <c r="C94" s="25" t="s">
        <v>466</v>
      </c>
      <c r="D94" s="92">
        <v>24.79</v>
      </c>
      <c r="E94" s="188">
        <f>1521.55/E86</f>
        <v>25.623947457056246</v>
      </c>
      <c r="F94" s="179">
        <f>1280/F86</f>
        <v>19.640939082399878</v>
      </c>
      <c r="G94" s="413"/>
      <c r="H94" s="62"/>
      <c r="I94" s="62"/>
      <c r="J94" s="62"/>
      <c r="K94" s="62"/>
      <c r="L94" s="62"/>
      <c r="M94" s="62"/>
      <c r="N94" s="62"/>
    </row>
    <row r="95" spans="1:14" x14ac:dyDescent="0.25">
      <c r="A95" s="4"/>
      <c r="B95" s="316"/>
      <c r="C95" s="25" t="s">
        <v>467</v>
      </c>
      <c r="D95" s="92">
        <v>49.68</v>
      </c>
      <c r="E95" s="188">
        <f>112/E87</f>
        <v>43.243243243243242</v>
      </c>
      <c r="F95" s="179">
        <f>56.75/F87</f>
        <v>18.015873015873016</v>
      </c>
      <c r="G95" s="413"/>
      <c r="H95" s="62"/>
      <c r="I95" s="62"/>
      <c r="J95" s="62"/>
      <c r="K95" s="62"/>
      <c r="L95" s="62"/>
      <c r="M95" s="62"/>
      <c r="N95" s="62"/>
    </row>
    <row r="96" spans="1:14" x14ac:dyDescent="0.25">
      <c r="A96" s="4"/>
      <c r="B96" s="316"/>
      <c r="C96" s="25" t="s">
        <v>468</v>
      </c>
      <c r="D96" s="92">
        <v>18.54</v>
      </c>
      <c r="E96" s="188">
        <f>331/E88</f>
        <v>17.421052631578949</v>
      </c>
      <c r="F96" s="179">
        <f>320.1/F88</f>
        <v>11.746788990825689</v>
      </c>
      <c r="G96" s="413"/>
      <c r="H96" s="62"/>
      <c r="I96" s="62"/>
      <c r="J96" s="62"/>
      <c r="K96" s="62"/>
      <c r="L96" s="62"/>
      <c r="M96" s="62"/>
      <c r="N96" s="62"/>
    </row>
    <row r="97" spans="1:14" x14ac:dyDescent="0.25">
      <c r="A97" s="4"/>
      <c r="B97" s="316"/>
      <c r="C97" s="5" t="s">
        <v>93</v>
      </c>
      <c r="D97" s="164">
        <f>SUM(D92:D96)/5</f>
        <v>36.067999999999998</v>
      </c>
      <c r="E97" s="164">
        <f>SUM(E92:E96)/5</f>
        <v>20.699992125714445</v>
      </c>
      <c r="F97" s="164">
        <f>SUM(F92:F96)/5</f>
        <v>13.198511628862661</v>
      </c>
      <c r="G97" s="413"/>
      <c r="H97" s="62"/>
      <c r="I97" s="62"/>
      <c r="J97" s="62"/>
      <c r="K97" s="62"/>
      <c r="L97" s="62"/>
      <c r="M97" s="62"/>
      <c r="N97" s="62"/>
    </row>
    <row r="98" spans="1:14" x14ac:dyDescent="0.2">
      <c r="A98" s="4"/>
      <c r="B98" s="316" t="s">
        <v>95</v>
      </c>
      <c r="C98" s="5" t="s">
        <v>463</v>
      </c>
      <c r="D98" s="91">
        <v>13.06</v>
      </c>
      <c r="E98" s="189">
        <f>330.35/3489.88*100</f>
        <v>9.4659415223446075</v>
      </c>
      <c r="F98" s="179">
        <f>373.95/3863.83*100</f>
        <v>9.6782208326970895</v>
      </c>
      <c r="G98" s="413"/>
      <c r="H98" s="62"/>
      <c r="I98" s="62"/>
      <c r="J98" s="62"/>
      <c r="K98" s="62"/>
      <c r="L98" s="62"/>
      <c r="M98" s="62"/>
      <c r="N98" s="62"/>
    </row>
    <row r="99" spans="1:14" x14ac:dyDescent="0.25">
      <c r="A99" s="4"/>
      <c r="B99" s="316"/>
      <c r="C99" s="5" t="s">
        <v>92</v>
      </c>
      <c r="D99" s="92" t="s">
        <v>126</v>
      </c>
      <c r="E99" s="188"/>
      <c r="F99" s="176"/>
      <c r="G99" s="413"/>
      <c r="H99" s="62"/>
      <c r="I99" s="62"/>
      <c r="J99" s="62"/>
      <c r="K99" s="62"/>
      <c r="L99" s="62"/>
      <c r="M99" s="62"/>
      <c r="N99" s="62"/>
    </row>
    <row r="100" spans="1:14" x14ac:dyDescent="0.25">
      <c r="A100" s="4"/>
      <c r="B100" s="316"/>
      <c r="C100" s="25" t="s">
        <v>464</v>
      </c>
      <c r="D100" s="92">
        <v>22.36</v>
      </c>
      <c r="E100" s="188">
        <f>6219.46/2257</f>
        <v>2.755631369073992</v>
      </c>
      <c r="F100" s="176" t="s">
        <v>126</v>
      </c>
      <c r="G100" s="413"/>
      <c r="H100" s="62"/>
      <c r="I100" s="62"/>
      <c r="J100" s="62"/>
      <c r="K100" s="62"/>
      <c r="L100" s="62"/>
      <c r="M100" s="62"/>
      <c r="N100" s="62"/>
    </row>
    <row r="101" spans="1:14" x14ac:dyDescent="0.25">
      <c r="A101" s="4"/>
      <c r="B101" s="316"/>
      <c r="C101" s="25" t="s">
        <v>465</v>
      </c>
      <c r="D101" s="92">
        <v>14.56</v>
      </c>
      <c r="E101" s="190">
        <f>600.57/2798.78*100</f>
        <v>21.458278249808846</v>
      </c>
      <c r="F101" s="179">
        <f>877.59/4902.48*100</f>
        <v>17.900939932442359</v>
      </c>
      <c r="G101" s="413"/>
      <c r="H101" s="62"/>
      <c r="I101" s="62"/>
      <c r="J101" s="62"/>
      <c r="K101" s="62"/>
      <c r="L101" s="62"/>
      <c r="M101" s="62"/>
      <c r="N101" s="62"/>
    </row>
    <row r="102" spans="1:14" x14ac:dyDescent="0.25">
      <c r="A102" s="4"/>
      <c r="B102" s="316"/>
      <c r="C102" s="25" t="s">
        <v>466</v>
      </c>
      <c r="D102" s="92">
        <v>21.97</v>
      </c>
      <c r="E102" s="190">
        <f>7318/39965*100</f>
        <v>18.311022144376331</v>
      </c>
      <c r="F102" s="179">
        <f>8031/43050*100</f>
        <v>18.655052264808361</v>
      </c>
      <c r="G102" s="413"/>
      <c r="H102" s="62"/>
      <c r="I102" s="62"/>
      <c r="J102" s="62"/>
      <c r="K102" s="62"/>
      <c r="L102" s="62"/>
      <c r="M102" s="62"/>
      <c r="N102" s="62"/>
    </row>
    <row r="103" spans="1:14" x14ac:dyDescent="0.25">
      <c r="A103" s="4"/>
      <c r="B103" s="316"/>
      <c r="C103" s="25" t="s">
        <v>467</v>
      </c>
      <c r="D103" s="92">
        <v>29.59</v>
      </c>
      <c r="E103" s="188">
        <f>29110806/228157040</f>
        <v>0.12759109252118628</v>
      </c>
      <c r="F103" s="179">
        <f>35431137/263919595</f>
        <v>0.13424973996341574</v>
      </c>
      <c r="G103" s="413"/>
      <c r="H103" s="62"/>
      <c r="I103" s="62"/>
      <c r="J103" s="62"/>
      <c r="K103" s="62"/>
      <c r="L103" s="62"/>
      <c r="M103" s="62"/>
      <c r="N103" s="62"/>
    </row>
    <row r="104" spans="1:14" x14ac:dyDescent="0.25">
      <c r="A104" s="4"/>
      <c r="B104" s="316"/>
      <c r="C104" s="25" t="s">
        <v>468</v>
      </c>
      <c r="D104" s="92">
        <v>34.340000000000003</v>
      </c>
      <c r="E104" s="190">
        <f>478.13/3971.96*100</f>
        <v>12.037633813029336</v>
      </c>
      <c r="F104" s="179">
        <f>35431137/263919595*100</f>
        <v>13.424973996341574</v>
      </c>
      <c r="G104" s="413"/>
      <c r="H104" s="62"/>
      <c r="I104" s="62"/>
      <c r="J104" s="62"/>
      <c r="K104" s="62"/>
      <c r="L104" s="62"/>
      <c r="M104" s="62"/>
      <c r="N104" s="62"/>
    </row>
    <row r="105" spans="1:14" x14ac:dyDescent="0.25">
      <c r="A105" s="4"/>
      <c r="B105" s="316"/>
      <c r="C105" s="5" t="s">
        <v>93</v>
      </c>
      <c r="D105" s="191">
        <f>SUM(D100:D104)/5</f>
        <v>24.564</v>
      </c>
      <c r="E105" s="191">
        <f>SUM(E100:E104)/5</f>
        <v>10.938031333761938</v>
      </c>
      <c r="F105" s="191">
        <f>SUM(F100:F104)/5</f>
        <v>10.02304318671114</v>
      </c>
      <c r="G105" s="413"/>
      <c r="H105" s="62"/>
      <c r="I105" s="62"/>
      <c r="J105" s="62"/>
      <c r="K105" s="66"/>
      <c r="L105" s="62"/>
      <c r="M105" s="62"/>
      <c r="N105" s="62"/>
    </row>
    <row r="106" spans="1:14" x14ac:dyDescent="0.2">
      <c r="A106" s="4"/>
      <c r="B106" s="316" t="s">
        <v>96</v>
      </c>
      <c r="C106" s="5" t="s">
        <v>463</v>
      </c>
      <c r="D106" s="91">
        <v>28.55</v>
      </c>
      <c r="E106" s="189">
        <f>3489.88*100000/10076100</f>
        <v>34.635225930667616</v>
      </c>
      <c r="F106" s="179">
        <f>3863.83*100000/10076100</f>
        <v>38.34648326237334</v>
      </c>
      <c r="G106" s="413"/>
      <c r="H106" s="62"/>
      <c r="I106" s="62"/>
      <c r="J106" s="62"/>
      <c r="K106" s="62"/>
      <c r="L106" s="62"/>
      <c r="M106" s="62"/>
      <c r="N106" s="62"/>
    </row>
    <row r="107" spans="1:14" x14ac:dyDescent="0.25">
      <c r="A107" s="4"/>
      <c r="B107" s="316"/>
      <c r="C107" s="5" t="s">
        <v>92</v>
      </c>
      <c r="D107" s="92" t="s">
        <v>126</v>
      </c>
      <c r="E107" s="92" t="s">
        <v>126</v>
      </c>
      <c r="F107" s="176"/>
      <c r="G107" s="413"/>
      <c r="H107" s="62"/>
      <c r="I107" s="62"/>
      <c r="J107" s="62"/>
      <c r="K107" s="62"/>
      <c r="L107" s="62"/>
      <c r="M107" s="62"/>
      <c r="N107" s="62"/>
    </row>
    <row r="108" spans="1:14" x14ac:dyDescent="0.25">
      <c r="A108" s="4"/>
      <c r="B108" s="386"/>
      <c r="C108" s="25" t="s">
        <v>464</v>
      </c>
      <c r="D108" s="92">
        <v>44.16</v>
      </c>
      <c r="E108" s="188">
        <f>22257/252.1</f>
        <v>88.286394287980968</v>
      </c>
      <c r="F108" s="176" t="s">
        <v>126</v>
      </c>
      <c r="G108" s="413"/>
      <c r="H108" s="62"/>
      <c r="I108" s="62"/>
      <c r="J108" s="62"/>
      <c r="K108" s="62"/>
      <c r="L108" s="62"/>
      <c r="M108" s="62"/>
      <c r="N108" s="62"/>
    </row>
    <row r="109" spans="1:14" x14ac:dyDescent="0.25">
      <c r="A109" s="4"/>
      <c r="B109" s="386"/>
      <c r="C109" s="25" t="s">
        <v>465</v>
      </c>
      <c r="D109" s="92">
        <v>20.170000000000002</v>
      </c>
      <c r="E109" s="192">
        <f>2798.78/100</f>
        <v>27.987800000000004</v>
      </c>
      <c r="F109" s="179">
        <f>4902.48*100000/11475000</f>
        <v>42.723137254901957</v>
      </c>
      <c r="G109" s="413"/>
      <c r="H109" s="62"/>
      <c r="I109" s="62"/>
      <c r="J109" s="62"/>
      <c r="K109" s="62"/>
      <c r="L109" s="62"/>
      <c r="M109" s="62"/>
      <c r="N109" s="62"/>
    </row>
    <row r="110" spans="1:14" x14ac:dyDescent="0.25">
      <c r="A110" s="4"/>
      <c r="B110" s="386"/>
      <c r="C110" s="25" t="s">
        <v>466</v>
      </c>
      <c r="D110" s="92">
        <v>290.51</v>
      </c>
      <c r="E110" s="188">
        <f>39965/123.3</f>
        <v>324.12814274128141</v>
      </c>
      <c r="F110" s="179">
        <f>43050*100000/12330000</f>
        <v>349.14841849148416</v>
      </c>
      <c r="G110" s="413"/>
      <c r="H110" s="62"/>
      <c r="I110" s="62"/>
      <c r="J110" s="62"/>
      <c r="K110" s="62"/>
      <c r="L110" s="62"/>
      <c r="M110" s="62"/>
      <c r="N110" s="62"/>
    </row>
    <row r="111" spans="1:14" x14ac:dyDescent="0.25">
      <c r="A111" s="4"/>
      <c r="B111" s="386"/>
      <c r="C111" s="25" t="s">
        <v>467</v>
      </c>
      <c r="D111" s="92">
        <v>28.84</v>
      </c>
      <c r="E111" s="188">
        <f>228157040/7500000</f>
        <v>30.420938666666668</v>
      </c>
      <c r="F111" s="179">
        <f>263919595/11250000</f>
        <v>23.459519555555556</v>
      </c>
      <c r="G111" s="413"/>
      <c r="H111" s="62"/>
      <c r="I111" s="62"/>
      <c r="J111" s="62"/>
      <c r="K111" s="62"/>
      <c r="L111" s="62"/>
      <c r="M111" s="62"/>
      <c r="N111" s="62"/>
    </row>
    <row r="112" spans="1:14" x14ac:dyDescent="0.25">
      <c r="A112" s="4"/>
      <c r="B112" s="386"/>
      <c r="C112" s="25" t="s">
        <v>468</v>
      </c>
      <c r="D112" s="92">
        <v>152.11000000000001</v>
      </c>
      <c r="E112" s="188">
        <f>3971.96/25.16</f>
        <v>157.86804451510335</v>
      </c>
      <c r="F112" s="179">
        <f>263919595/11250000</f>
        <v>23.459519555555556</v>
      </c>
      <c r="G112" s="413"/>
      <c r="H112" s="62"/>
      <c r="I112" s="62"/>
      <c r="J112" s="62"/>
      <c r="K112" s="62"/>
      <c r="L112" s="62"/>
      <c r="M112" s="62"/>
      <c r="N112" s="62"/>
    </row>
    <row r="113" spans="1:14" x14ac:dyDescent="0.25">
      <c r="A113" s="4"/>
      <c r="B113" s="386"/>
      <c r="C113" s="5" t="s">
        <v>93</v>
      </c>
      <c r="D113" s="164">
        <f>SUM(D108:D112)/5</f>
        <v>107.15799999999999</v>
      </c>
      <c r="E113" s="164">
        <f>SUM(E108:E112)/5</f>
        <v>125.7382640422065</v>
      </c>
      <c r="F113" s="164">
        <f>SUM(F108:F112)/5</f>
        <v>87.758118971499442</v>
      </c>
      <c r="G113" s="413"/>
      <c r="H113" s="62"/>
      <c r="I113" s="62"/>
      <c r="J113" s="62"/>
      <c r="K113" s="62"/>
      <c r="L113" s="62"/>
      <c r="M113" s="62"/>
      <c r="N113" s="62"/>
    </row>
    <row r="114" spans="1:14" s="57" customFormat="1" x14ac:dyDescent="0.25">
      <c r="B114" s="387"/>
      <c r="C114" s="388"/>
      <c r="D114" s="388"/>
      <c r="E114" s="388"/>
      <c r="F114" s="388"/>
      <c r="G114" s="389"/>
    </row>
    <row r="115" spans="1:14" x14ac:dyDescent="0.25">
      <c r="A115" s="4"/>
      <c r="B115" s="376" t="s">
        <v>469</v>
      </c>
      <c r="C115" s="377"/>
      <c r="D115" s="377"/>
      <c r="E115" s="377"/>
      <c r="F115" s="377"/>
      <c r="G115" s="378"/>
      <c r="H115" s="62"/>
      <c r="I115" s="62"/>
      <c r="J115" s="62"/>
      <c r="K115" s="62"/>
      <c r="L115" s="62"/>
      <c r="M115" s="62"/>
      <c r="N115" s="62"/>
    </row>
    <row r="116" spans="1:14" x14ac:dyDescent="0.25">
      <c r="A116" s="4"/>
      <c r="B116" s="379" t="s">
        <v>128</v>
      </c>
      <c r="C116" s="380"/>
      <c r="D116" s="380"/>
      <c r="E116" s="380"/>
      <c r="F116" s="380"/>
      <c r="G116" s="381"/>
      <c r="H116" s="62"/>
      <c r="I116" s="62"/>
      <c r="J116" s="62"/>
      <c r="K116" s="62"/>
      <c r="L116" s="62"/>
      <c r="M116" s="62"/>
      <c r="N116" s="62"/>
    </row>
    <row r="117" spans="1:14" x14ac:dyDescent="0.25">
      <c r="A117" s="4"/>
      <c r="B117" s="353" t="s">
        <v>366</v>
      </c>
      <c r="C117" s="354"/>
      <c r="D117" s="354"/>
      <c r="E117" s="354"/>
      <c r="F117" s="354"/>
      <c r="G117" s="355"/>
      <c r="H117" s="62"/>
      <c r="I117" s="62"/>
      <c r="J117" s="62"/>
      <c r="K117" s="62"/>
      <c r="L117" s="62"/>
      <c r="M117" s="62"/>
      <c r="N117" s="62"/>
    </row>
    <row r="118" spans="1:14" x14ac:dyDescent="0.25">
      <c r="A118" s="26"/>
      <c r="B118" s="12"/>
      <c r="C118" s="323"/>
      <c r="D118" s="323"/>
      <c r="E118" s="323"/>
      <c r="F118" s="323"/>
      <c r="G118" s="323"/>
      <c r="H118" s="62"/>
      <c r="I118" s="62"/>
      <c r="J118" s="26"/>
      <c r="K118" s="26"/>
      <c r="L118" s="26"/>
      <c r="M118" s="26"/>
      <c r="N118" s="26"/>
    </row>
    <row r="119" spans="1:14" x14ac:dyDescent="0.25">
      <c r="A119" s="13">
        <v>14</v>
      </c>
      <c r="B119" s="70" t="s">
        <v>99</v>
      </c>
      <c r="C119" s="324" t="s">
        <v>48</v>
      </c>
      <c r="D119" s="325"/>
      <c r="E119" s="325"/>
      <c r="F119" s="325"/>
      <c r="G119" s="326"/>
      <c r="H119" s="26"/>
      <c r="I119" s="26"/>
      <c r="J119" s="26"/>
      <c r="K119" s="26"/>
      <c r="L119" s="26"/>
      <c r="M119" s="26"/>
      <c r="N119" s="26"/>
    </row>
    <row r="120" spans="1:14" x14ac:dyDescent="0.25">
      <c r="A120" s="71"/>
      <c r="B120" s="26"/>
      <c r="C120" s="84"/>
      <c r="D120" s="84"/>
      <c r="E120" s="84"/>
      <c r="F120" s="84"/>
      <c r="G120" s="84"/>
      <c r="H120" s="26"/>
      <c r="I120" s="26"/>
      <c r="J120" s="26"/>
      <c r="K120" s="26"/>
      <c r="L120" s="26"/>
      <c r="M120" s="26"/>
      <c r="N120" s="26"/>
    </row>
    <row r="121" spans="1:14" x14ac:dyDescent="0.25">
      <c r="A121" s="26"/>
      <c r="B121" s="374" t="s">
        <v>470</v>
      </c>
      <c r="C121" s="375"/>
      <c r="D121" s="375"/>
      <c r="E121" s="375"/>
      <c r="F121" s="375"/>
      <c r="G121" s="375"/>
      <c r="H121" s="375"/>
      <c r="I121" s="26"/>
      <c r="J121" s="26"/>
      <c r="K121" s="26"/>
      <c r="L121" s="26"/>
      <c r="M121" s="26"/>
      <c r="N121" s="26"/>
    </row>
    <row r="122" spans="1:14" x14ac:dyDescent="0.25">
      <c r="A122" s="26"/>
      <c r="I122" s="26"/>
      <c r="J122" s="26"/>
      <c r="K122" s="26"/>
      <c r="L122" s="26"/>
      <c r="M122" s="26"/>
      <c r="N122" s="26"/>
    </row>
    <row r="123" spans="1:14" x14ac:dyDescent="0.25">
      <c r="A123" s="26"/>
      <c r="J123" s="26"/>
      <c r="K123" s="26"/>
      <c r="L123" s="26"/>
      <c r="M123" s="26"/>
      <c r="N123" s="26"/>
    </row>
  </sheetData>
  <sheetProtection password="E9DF" sheet="1" objects="1" scenarios="1"/>
  <mergeCells count="62">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5:N75"/>
    <mergeCell ref="B61:E61"/>
    <mergeCell ref="C63:E63"/>
    <mergeCell ref="B69:B70"/>
    <mergeCell ref="C69:C70"/>
    <mergeCell ref="D69:D70"/>
    <mergeCell ref="E69:E70"/>
    <mergeCell ref="F69:H69"/>
    <mergeCell ref="I69:K69"/>
    <mergeCell ref="L69:N69"/>
    <mergeCell ref="B73:N73"/>
    <mergeCell ref="B74:N74"/>
    <mergeCell ref="B76:N76"/>
    <mergeCell ref="B77:N77"/>
    <mergeCell ref="B79:G79"/>
    <mergeCell ref="B82:B89"/>
    <mergeCell ref="G82:G113"/>
    <mergeCell ref="B90:B97"/>
    <mergeCell ref="B98:B105"/>
    <mergeCell ref="B106:B113"/>
    <mergeCell ref="B121:H121"/>
    <mergeCell ref="B114:G114"/>
    <mergeCell ref="B115:G115"/>
    <mergeCell ref="B116:G116"/>
    <mergeCell ref="B117:G117"/>
    <mergeCell ref="C118:G118"/>
    <mergeCell ref="C119:G119"/>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topLeftCell="A40" workbookViewId="0">
      <selection activeCell="K40" sqref="K40"/>
    </sheetView>
  </sheetViews>
  <sheetFormatPr defaultColWidth="8.85546875" defaultRowHeight="12.75" x14ac:dyDescent="0.25"/>
  <cols>
    <col min="1" max="1" width="8.85546875" style="73"/>
    <col min="2"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471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472</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473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474</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4.7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324</v>
      </c>
      <c r="D28" s="178" t="s">
        <v>26</v>
      </c>
      <c r="E28" s="178" t="s">
        <v>355</v>
      </c>
      <c r="F28" s="19"/>
      <c r="G28" s="26"/>
      <c r="H28" s="26"/>
      <c r="I28" s="26"/>
      <c r="J28" s="26"/>
      <c r="K28" s="26"/>
      <c r="L28" s="26"/>
      <c r="M28" s="26"/>
      <c r="N28" s="26"/>
    </row>
    <row r="29" spans="1:14" x14ac:dyDescent="0.25">
      <c r="A29" s="13"/>
      <c r="B29" s="23" t="s">
        <v>28</v>
      </c>
      <c r="C29" s="113">
        <v>5580.56</v>
      </c>
      <c r="D29" s="175"/>
      <c r="E29" s="420" t="s">
        <v>265</v>
      </c>
      <c r="F29" s="19"/>
      <c r="G29" s="26"/>
      <c r="H29" s="26"/>
      <c r="I29" s="26"/>
      <c r="J29" s="26"/>
      <c r="K29" s="26"/>
      <c r="L29" s="26"/>
      <c r="M29" s="26"/>
      <c r="N29" s="26"/>
    </row>
    <row r="30" spans="1:14" x14ac:dyDescent="0.25">
      <c r="A30" s="13"/>
      <c r="B30" s="23" t="s">
        <v>29</v>
      </c>
      <c r="C30" s="113">
        <v>215.09</v>
      </c>
      <c r="D30" s="175"/>
      <c r="E30" s="421"/>
      <c r="F30" s="19"/>
      <c r="G30" s="26"/>
      <c r="H30" s="26"/>
      <c r="I30" s="26"/>
      <c r="J30" s="26"/>
      <c r="K30" s="26"/>
      <c r="L30" s="26"/>
      <c r="M30" s="26"/>
      <c r="N30" s="26"/>
    </row>
    <row r="31" spans="1:14" x14ac:dyDescent="0.25">
      <c r="A31" s="13"/>
      <c r="B31" s="23" t="s">
        <v>30</v>
      </c>
      <c r="C31" s="113">
        <v>347.2</v>
      </c>
      <c r="D31" s="175"/>
      <c r="E31" s="421"/>
      <c r="F31" s="19"/>
      <c r="G31" s="26"/>
      <c r="H31" s="26"/>
      <c r="I31" s="26"/>
      <c r="J31" s="26"/>
      <c r="K31" s="26"/>
      <c r="L31" s="26"/>
      <c r="M31" s="26"/>
      <c r="N31" s="26"/>
    </row>
    <row r="32" spans="1:14" x14ac:dyDescent="0.25">
      <c r="A32" s="13"/>
      <c r="B32" s="23" t="s">
        <v>436</v>
      </c>
      <c r="C32" s="113">
        <v>1040.6099999999999</v>
      </c>
      <c r="D32" s="175"/>
      <c r="E32" s="422"/>
      <c r="F32" s="19"/>
      <c r="G32" s="26"/>
      <c r="H32" s="26"/>
      <c r="I32" s="26"/>
      <c r="J32" s="26"/>
      <c r="K32" s="26"/>
      <c r="L32" s="26"/>
      <c r="M32" s="26"/>
      <c r="N32" s="26"/>
    </row>
    <row r="33" spans="1:14" x14ac:dyDescent="0.25">
      <c r="A33" s="13"/>
      <c r="B33" s="353" t="s">
        <v>356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26.25" customHeight="1"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176"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369</v>
      </c>
      <c r="C50" s="94" t="s">
        <v>475</v>
      </c>
      <c r="D50" s="33"/>
      <c r="E50" s="32"/>
      <c r="F50" s="26"/>
      <c r="G50" s="26"/>
      <c r="H50" s="26"/>
      <c r="I50" s="26"/>
      <c r="J50" s="26"/>
      <c r="K50" s="26"/>
      <c r="L50" s="26"/>
      <c r="M50" s="26"/>
    </row>
    <row r="51" spans="1:14" x14ac:dyDescent="0.25">
      <c r="A51" s="36"/>
      <c r="B51" s="345" t="s">
        <v>476</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477</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476</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51"/>
      <c r="F64" s="51"/>
      <c r="G64" s="15"/>
      <c r="H64" s="15"/>
      <c r="I64" s="15"/>
      <c r="J64" s="15"/>
      <c r="K64" s="15"/>
      <c r="L64" s="15"/>
      <c r="M64" s="15"/>
      <c r="N64" s="15"/>
    </row>
    <row r="65" spans="1:14" x14ac:dyDescent="0.25">
      <c r="A65" s="13"/>
      <c r="B65" s="21" t="s">
        <v>62</v>
      </c>
      <c r="C65" s="23" t="s">
        <v>478</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ht="27" customHeight="1" x14ac:dyDescent="0.25">
      <c r="A67" s="13"/>
      <c r="B67" s="333" t="s">
        <v>64</v>
      </c>
      <c r="C67" s="372" t="s">
        <v>479</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x14ac:dyDescent="0.25">
      <c r="A69" s="4"/>
      <c r="B69" s="21" t="s">
        <v>165</v>
      </c>
      <c r="C69" s="53">
        <v>72</v>
      </c>
      <c r="D69" s="54">
        <v>60</v>
      </c>
      <c r="E69" s="54">
        <v>51</v>
      </c>
      <c r="F69" s="54">
        <v>48</v>
      </c>
      <c r="G69" s="54">
        <v>86.4</v>
      </c>
      <c r="H69" s="53">
        <v>42.05</v>
      </c>
      <c r="I69" s="53">
        <v>25</v>
      </c>
      <c r="J69" s="53">
        <v>55.95</v>
      </c>
      <c r="K69" s="53">
        <v>21</v>
      </c>
      <c r="L69" s="53" t="s">
        <v>48</v>
      </c>
      <c r="M69" s="53" t="s">
        <v>48</v>
      </c>
      <c r="N69" s="53" t="s">
        <v>48</v>
      </c>
    </row>
    <row r="70" spans="1:14" ht="25.5" x14ac:dyDescent="0.25">
      <c r="A70" s="4"/>
      <c r="B70" s="21" t="s">
        <v>166</v>
      </c>
      <c r="C70" s="53">
        <v>9674.5499999999993</v>
      </c>
      <c r="D70" s="53">
        <v>10057.4</v>
      </c>
      <c r="E70" s="53">
        <v>9914.9</v>
      </c>
      <c r="F70" s="54">
        <v>10113.700000000001</v>
      </c>
      <c r="G70" s="54">
        <v>11171.55</v>
      </c>
      <c r="H70" s="54">
        <v>9075.15</v>
      </c>
      <c r="I70" s="53">
        <v>11623.9</v>
      </c>
      <c r="J70" s="53">
        <v>11760.2</v>
      </c>
      <c r="K70" s="53">
        <v>10004.549999999999</v>
      </c>
      <c r="L70" s="53" t="s">
        <v>48</v>
      </c>
      <c r="M70" s="53" t="s">
        <v>48</v>
      </c>
      <c r="N70" s="53" t="s">
        <v>48</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59" t="s">
        <v>84</v>
      </c>
      <c r="C79" s="22" t="s">
        <v>85</v>
      </c>
      <c r="D79" s="22" t="s">
        <v>86</v>
      </c>
      <c r="E79" s="22" t="s">
        <v>438</v>
      </c>
      <c r="F79" s="22" t="s">
        <v>88</v>
      </c>
      <c r="G79" s="22" t="s">
        <v>169</v>
      </c>
      <c r="H79" s="17"/>
      <c r="I79" s="17"/>
      <c r="J79" s="17"/>
      <c r="K79" s="17"/>
      <c r="L79" s="17"/>
      <c r="M79" s="17"/>
      <c r="N79" s="17"/>
    </row>
    <row r="80" spans="1:14" ht="12.75" customHeight="1" x14ac:dyDescent="0.2">
      <c r="A80" s="4"/>
      <c r="B80" s="316" t="s">
        <v>90</v>
      </c>
      <c r="C80" s="5" t="s">
        <v>480</v>
      </c>
      <c r="D80" s="91">
        <v>7.36</v>
      </c>
      <c r="E80" s="91">
        <v>6.42</v>
      </c>
      <c r="F80" s="176">
        <v>9.6199999999999992</v>
      </c>
      <c r="G80" s="412" t="s">
        <v>282</v>
      </c>
      <c r="H80" s="62"/>
      <c r="I80" s="62"/>
      <c r="J80" s="62"/>
      <c r="K80" s="62"/>
      <c r="L80" s="62"/>
      <c r="M80" s="62"/>
      <c r="N80" s="62"/>
    </row>
    <row r="81" spans="1:14" x14ac:dyDescent="0.25">
      <c r="A81" s="4"/>
      <c r="B81" s="316"/>
      <c r="C81" s="5" t="s">
        <v>92</v>
      </c>
      <c r="D81" s="63" t="s">
        <v>125</v>
      </c>
      <c r="E81" s="63" t="s">
        <v>125</v>
      </c>
      <c r="F81" s="177" t="s">
        <v>125</v>
      </c>
      <c r="G81" s="413"/>
      <c r="H81" s="62"/>
      <c r="I81" s="62"/>
      <c r="J81" s="62"/>
      <c r="K81" s="62"/>
      <c r="L81" s="62"/>
      <c r="M81" s="62"/>
      <c r="N81" s="62"/>
    </row>
    <row r="82" spans="1:14" x14ac:dyDescent="0.25">
      <c r="A82" s="4"/>
      <c r="B82" s="316"/>
      <c r="C82" s="5" t="s">
        <v>93</v>
      </c>
      <c r="D82" s="92"/>
      <c r="E82" s="92"/>
      <c r="F82" s="176"/>
      <c r="G82" s="413"/>
      <c r="H82" s="62"/>
      <c r="I82" s="62"/>
      <c r="J82" s="62"/>
      <c r="K82" s="62"/>
      <c r="L82" s="62"/>
      <c r="M82" s="62"/>
      <c r="N82" s="62"/>
    </row>
    <row r="83" spans="1:14" x14ac:dyDescent="0.2">
      <c r="A83" s="4"/>
      <c r="B83" s="316" t="s">
        <v>94</v>
      </c>
      <c r="C83" s="5" t="s">
        <v>481</v>
      </c>
      <c r="D83" s="93">
        <v>5.77</v>
      </c>
      <c r="E83" s="93">
        <v>7.47</v>
      </c>
      <c r="F83" s="179">
        <f>I69/F80</f>
        <v>2.5987525987525988</v>
      </c>
      <c r="G83" s="413"/>
      <c r="H83" s="62"/>
      <c r="I83" s="62"/>
      <c r="J83" s="62"/>
      <c r="K83" s="62"/>
      <c r="L83" s="62"/>
      <c r="M83" s="62"/>
      <c r="N83" s="62"/>
    </row>
    <row r="84" spans="1:14" x14ac:dyDescent="0.25">
      <c r="A84" s="4"/>
      <c r="B84" s="316"/>
      <c r="C84" s="5" t="s">
        <v>92</v>
      </c>
      <c r="D84" s="63" t="s">
        <v>125</v>
      </c>
      <c r="E84" s="177" t="s">
        <v>125</v>
      </c>
      <c r="F84" s="177" t="s">
        <v>125</v>
      </c>
      <c r="G84" s="413"/>
      <c r="H84" s="62"/>
      <c r="I84" s="62"/>
      <c r="J84" s="62"/>
      <c r="K84" s="62"/>
      <c r="L84" s="62"/>
      <c r="M84" s="62"/>
      <c r="N84" s="62"/>
    </row>
    <row r="85" spans="1:14" x14ac:dyDescent="0.25">
      <c r="A85" s="4"/>
      <c r="B85" s="316"/>
      <c r="C85" s="5" t="s">
        <v>93</v>
      </c>
      <c r="D85" s="92"/>
      <c r="E85" s="92"/>
      <c r="F85" s="176"/>
      <c r="G85" s="413"/>
      <c r="H85" s="62"/>
      <c r="I85" s="62"/>
      <c r="J85" s="62"/>
      <c r="K85" s="62"/>
      <c r="L85" s="62"/>
      <c r="M85" s="62"/>
      <c r="N85" s="62"/>
    </row>
    <row r="86" spans="1:14" x14ac:dyDescent="0.2">
      <c r="A86" s="4"/>
      <c r="B86" s="316" t="s">
        <v>95</v>
      </c>
      <c r="C86" s="5" t="s">
        <v>481</v>
      </c>
      <c r="D86" s="91">
        <v>61.91</v>
      </c>
      <c r="E86" s="91">
        <v>15.5</v>
      </c>
      <c r="F86" s="179">
        <f>33395886/172177315*100</f>
        <v>19.396217207824389</v>
      </c>
      <c r="G86" s="413"/>
      <c r="H86" s="62"/>
      <c r="I86" s="62"/>
      <c r="J86" s="62"/>
      <c r="K86" s="62"/>
      <c r="L86" s="62"/>
      <c r="M86" s="62"/>
      <c r="N86" s="62"/>
    </row>
    <row r="87" spans="1:14" x14ac:dyDescent="0.25">
      <c r="A87" s="4"/>
      <c r="B87" s="316"/>
      <c r="C87" s="5" t="s">
        <v>92</v>
      </c>
      <c r="D87" s="63" t="s">
        <v>125</v>
      </c>
      <c r="E87" s="177" t="s">
        <v>125</v>
      </c>
      <c r="F87" s="177" t="s">
        <v>125</v>
      </c>
      <c r="G87" s="413"/>
      <c r="H87" s="62"/>
      <c r="I87" s="62"/>
      <c r="J87" s="62"/>
      <c r="K87" s="62"/>
      <c r="L87" s="62"/>
      <c r="M87" s="62"/>
      <c r="N87" s="62"/>
    </row>
    <row r="88" spans="1:14" x14ac:dyDescent="0.25">
      <c r="A88" s="4"/>
      <c r="B88" s="316"/>
      <c r="C88" s="5" t="s">
        <v>93</v>
      </c>
      <c r="D88" s="92"/>
      <c r="E88" s="92"/>
      <c r="F88" s="176"/>
      <c r="G88" s="413"/>
      <c r="H88" s="62"/>
      <c r="I88" s="62"/>
      <c r="J88" s="62"/>
      <c r="K88" s="66"/>
      <c r="L88" s="62"/>
      <c r="M88" s="62"/>
      <c r="N88" s="62"/>
    </row>
    <row r="89" spans="1:14" x14ac:dyDescent="0.2">
      <c r="A89" s="4"/>
      <c r="B89" s="316" t="s">
        <v>96</v>
      </c>
      <c r="C89" s="5" t="s">
        <v>481</v>
      </c>
      <c r="D89" s="91">
        <v>31.64</v>
      </c>
      <c r="E89" s="91">
        <v>39.97</v>
      </c>
      <c r="F89" s="179">
        <f>172177315/3472000</f>
        <v>49.590240495391704</v>
      </c>
      <c r="G89" s="413"/>
      <c r="H89" s="62"/>
      <c r="I89" s="62"/>
      <c r="J89" s="62"/>
      <c r="K89" s="62"/>
      <c r="L89" s="62"/>
      <c r="M89" s="62"/>
      <c r="N89" s="62"/>
    </row>
    <row r="90" spans="1:14" x14ac:dyDescent="0.25">
      <c r="A90" s="4"/>
      <c r="B90" s="316"/>
      <c r="C90" s="5" t="s">
        <v>92</v>
      </c>
      <c r="D90" s="63" t="s">
        <v>125</v>
      </c>
      <c r="E90" s="177" t="s">
        <v>125</v>
      </c>
      <c r="F90" s="177" t="s">
        <v>125</v>
      </c>
      <c r="G90" s="413"/>
      <c r="H90" s="62"/>
      <c r="I90" s="62"/>
      <c r="J90" s="62"/>
      <c r="K90" s="62"/>
      <c r="L90" s="62"/>
      <c r="M90" s="62"/>
      <c r="N90" s="62"/>
    </row>
    <row r="91" spans="1:14" x14ac:dyDescent="0.25">
      <c r="A91" s="4"/>
      <c r="B91" s="386"/>
      <c r="C91" s="5" t="s">
        <v>93</v>
      </c>
      <c r="D91" s="92"/>
      <c r="E91" s="92"/>
      <c r="F91" s="25"/>
      <c r="G91" s="413"/>
      <c r="H91" s="62"/>
      <c r="I91" s="62"/>
      <c r="J91" s="62"/>
      <c r="K91" s="62"/>
      <c r="L91" s="62"/>
      <c r="M91" s="62"/>
      <c r="N91" s="62"/>
    </row>
    <row r="92" spans="1:14" s="57" customFormat="1" x14ac:dyDescent="0.25">
      <c r="B92" s="387"/>
      <c r="C92" s="388"/>
      <c r="D92" s="388"/>
      <c r="E92" s="388"/>
      <c r="F92" s="388"/>
      <c r="G92" s="389"/>
    </row>
    <row r="93" spans="1:14" x14ac:dyDescent="0.25">
      <c r="A93" s="4"/>
      <c r="B93" s="376" t="s">
        <v>482</v>
      </c>
      <c r="C93" s="377"/>
      <c r="D93" s="377"/>
      <c r="E93" s="377"/>
      <c r="F93" s="377"/>
      <c r="G93" s="378"/>
      <c r="H93" s="62"/>
      <c r="I93" s="62"/>
      <c r="J93" s="62"/>
      <c r="K93" s="62"/>
      <c r="L93" s="62"/>
      <c r="M93" s="62"/>
      <c r="N93" s="62"/>
    </row>
    <row r="94" spans="1:14" x14ac:dyDescent="0.25">
      <c r="A94" s="4"/>
      <c r="B94" s="379" t="s">
        <v>128</v>
      </c>
      <c r="C94" s="380"/>
      <c r="D94" s="380"/>
      <c r="E94" s="380"/>
      <c r="F94" s="380"/>
      <c r="G94" s="381"/>
      <c r="H94" s="62"/>
      <c r="I94" s="62"/>
      <c r="J94" s="62"/>
      <c r="K94" s="62"/>
      <c r="L94" s="62"/>
      <c r="M94" s="62"/>
      <c r="N94" s="62"/>
    </row>
    <row r="95" spans="1:14" x14ac:dyDescent="0.25">
      <c r="A95" s="4"/>
      <c r="B95" s="353" t="s">
        <v>366</v>
      </c>
      <c r="C95" s="354"/>
      <c r="D95" s="354"/>
      <c r="E95" s="354"/>
      <c r="F95" s="354"/>
      <c r="G95" s="355"/>
      <c r="H95" s="62"/>
      <c r="I95" s="62"/>
      <c r="J95" s="62"/>
      <c r="K95" s="62"/>
      <c r="L95" s="62"/>
      <c r="M95" s="62"/>
      <c r="N95" s="62"/>
    </row>
    <row r="96" spans="1:14" x14ac:dyDescent="0.25">
      <c r="A96" s="26"/>
      <c r="B96" s="12"/>
      <c r="C96" s="323"/>
      <c r="D96" s="323"/>
      <c r="E96" s="323"/>
      <c r="F96" s="323"/>
      <c r="G96" s="323"/>
      <c r="H96" s="62"/>
      <c r="I96" s="62"/>
      <c r="J96" s="26"/>
      <c r="K96" s="26"/>
      <c r="L96" s="26"/>
      <c r="M96" s="26"/>
      <c r="N96" s="26"/>
    </row>
    <row r="97" spans="1:14" x14ac:dyDescent="0.25">
      <c r="A97" s="13">
        <v>14</v>
      </c>
      <c r="B97" s="70" t="s">
        <v>99</v>
      </c>
      <c r="C97" s="324" t="s">
        <v>48</v>
      </c>
      <c r="D97" s="325"/>
      <c r="E97" s="325"/>
      <c r="F97" s="325"/>
      <c r="G97" s="326"/>
      <c r="H97" s="26"/>
      <c r="I97" s="26"/>
      <c r="J97" s="26"/>
      <c r="K97" s="26"/>
      <c r="L97" s="26"/>
      <c r="M97" s="26"/>
      <c r="N97" s="26"/>
    </row>
    <row r="98" spans="1:14" x14ac:dyDescent="0.25">
      <c r="A98" s="71"/>
      <c r="B98" s="26"/>
      <c r="C98" s="84"/>
      <c r="D98" s="84"/>
      <c r="E98" s="84"/>
      <c r="F98" s="84"/>
      <c r="G98" s="84"/>
      <c r="H98" s="26"/>
      <c r="I98" s="26"/>
      <c r="J98" s="26"/>
      <c r="K98" s="26"/>
      <c r="L98" s="26"/>
      <c r="M98" s="26"/>
      <c r="N98" s="26"/>
    </row>
    <row r="99" spans="1:14" x14ac:dyDescent="0.25">
      <c r="A99" s="26"/>
      <c r="B99" s="374" t="s">
        <v>483</v>
      </c>
      <c r="C99" s="375"/>
      <c r="D99" s="375"/>
      <c r="E99" s="375"/>
      <c r="F99" s="375"/>
      <c r="G99" s="375"/>
      <c r="H99" s="375"/>
      <c r="I99" s="26"/>
      <c r="J99" s="26"/>
      <c r="K99" s="26"/>
      <c r="L99" s="26"/>
      <c r="M99" s="26"/>
      <c r="N99" s="26"/>
    </row>
    <row r="100" spans="1:14" x14ac:dyDescent="0.25">
      <c r="A100" s="26"/>
      <c r="I100" s="26"/>
      <c r="J100" s="26"/>
      <c r="K100" s="26"/>
      <c r="L100" s="26"/>
      <c r="M100" s="26"/>
      <c r="N100" s="26"/>
    </row>
    <row r="101" spans="1:14" x14ac:dyDescent="0.25">
      <c r="A101" s="26"/>
      <c r="J101" s="26"/>
      <c r="K101" s="26"/>
      <c r="L101" s="26"/>
      <c r="M101" s="26"/>
      <c r="N101" s="26"/>
    </row>
  </sheetData>
  <sheetProtection password="E9DF"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2"/>
    <mergeCell ref="G80:G91"/>
    <mergeCell ref="B83:B85"/>
    <mergeCell ref="B86:B88"/>
    <mergeCell ref="B89:B91"/>
    <mergeCell ref="B99:H99"/>
    <mergeCell ref="B92:G92"/>
    <mergeCell ref="B93:G93"/>
    <mergeCell ref="B94:G94"/>
    <mergeCell ref="B95:G95"/>
    <mergeCell ref="C96:G96"/>
    <mergeCell ref="C97:G9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topLeftCell="A50" workbookViewId="0">
      <selection activeCell="K50" sqref="K50"/>
    </sheetView>
  </sheetViews>
  <sheetFormatPr defaultColWidth="8.85546875" defaultRowHeight="12.75" x14ac:dyDescent="0.25"/>
  <cols>
    <col min="1" max="1" width="8.85546875" style="73"/>
    <col min="2" max="3" width="40.85546875" style="73" customWidth="1"/>
    <col min="4" max="4" width="21.2851562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484</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259</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485</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486</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474</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264</v>
      </c>
      <c r="D28" s="22" t="s">
        <v>26</v>
      </c>
      <c r="E28" s="22" t="s">
        <v>27</v>
      </c>
      <c r="F28" s="19"/>
      <c r="G28" s="26"/>
      <c r="H28" s="26"/>
      <c r="I28" s="26"/>
      <c r="J28" s="26"/>
      <c r="K28" s="26"/>
      <c r="L28" s="26"/>
      <c r="M28" s="26"/>
      <c r="N28" s="26"/>
    </row>
    <row r="29" spans="1:14" x14ac:dyDescent="0.25">
      <c r="A29" s="13"/>
      <c r="B29" s="23" t="s">
        <v>28</v>
      </c>
      <c r="C29" s="25">
        <v>1915.68</v>
      </c>
      <c r="D29" s="175"/>
      <c r="E29" s="420" t="s">
        <v>265</v>
      </c>
      <c r="F29" s="19"/>
      <c r="G29" s="26"/>
      <c r="H29" s="26"/>
      <c r="I29" s="26"/>
      <c r="J29" s="26"/>
      <c r="K29" s="26"/>
      <c r="L29" s="26"/>
      <c r="M29" s="26"/>
      <c r="N29" s="26"/>
    </row>
    <row r="30" spans="1:14" x14ac:dyDescent="0.25">
      <c r="A30" s="13"/>
      <c r="B30" s="23" t="s">
        <v>29</v>
      </c>
      <c r="C30" s="25">
        <v>120.75</v>
      </c>
      <c r="D30" s="175"/>
      <c r="E30" s="421"/>
      <c r="F30" s="19"/>
      <c r="G30" s="26"/>
      <c r="H30" s="26"/>
      <c r="I30" s="26"/>
      <c r="J30" s="26"/>
      <c r="K30" s="26"/>
      <c r="L30" s="26"/>
      <c r="M30" s="26"/>
      <c r="N30" s="26"/>
    </row>
    <row r="31" spans="1:14" x14ac:dyDescent="0.25">
      <c r="A31" s="13"/>
      <c r="B31" s="23" t="s">
        <v>30</v>
      </c>
      <c r="C31" s="25">
        <v>510.5</v>
      </c>
      <c r="D31" s="175"/>
      <c r="E31" s="421"/>
      <c r="F31" s="19"/>
      <c r="G31" s="26"/>
      <c r="H31" s="26"/>
      <c r="I31" s="26"/>
      <c r="J31" s="26"/>
      <c r="K31" s="26"/>
      <c r="L31" s="26"/>
      <c r="M31" s="26"/>
      <c r="N31" s="26"/>
    </row>
    <row r="32" spans="1:14" x14ac:dyDescent="0.25">
      <c r="A32" s="13"/>
      <c r="B32" s="23" t="s">
        <v>31</v>
      </c>
      <c r="C32" s="25">
        <v>523.13</v>
      </c>
      <c r="D32" s="175"/>
      <c r="E32" s="422"/>
      <c r="F32" s="19"/>
      <c r="G32" s="26"/>
      <c r="H32" s="26"/>
      <c r="I32" s="26"/>
      <c r="J32" s="26"/>
      <c r="K32" s="26"/>
      <c r="L32" s="26"/>
      <c r="M32" s="26"/>
      <c r="N32" s="26"/>
    </row>
    <row r="33" spans="1:14" x14ac:dyDescent="0.25">
      <c r="A33" s="13"/>
      <c r="B33" s="353" t="s">
        <v>487</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176"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84.75" customHeight="1" x14ac:dyDescent="0.25">
      <c r="A50" s="34"/>
      <c r="B50" s="94" t="s">
        <v>369</v>
      </c>
      <c r="C50" s="94" t="s">
        <v>488</v>
      </c>
      <c r="D50" s="94" t="s">
        <v>488</v>
      </c>
      <c r="E50" s="94" t="s">
        <v>48</v>
      </c>
      <c r="F50" s="26"/>
      <c r="G50" s="26"/>
      <c r="H50" s="26"/>
      <c r="I50" s="26"/>
      <c r="J50" s="26"/>
      <c r="K50" s="26"/>
      <c r="L50" s="26"/>
      <c r="M50" s="26"/>
    </row>
    <row r="51" spans="1:14" x14ac:dyDescent="0.25">
      <c r="A51" s="36"/>
      <c r="B51" s="345" t="s">
        <v>232</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489</v>
      </c>
      <c r="D54" s="395"/>
      <c r="E54" s="396"/>
      <c r="F54" s="26"/>
      <c r="G54" s="26"/>
      <c r="H54" s="26"/>
      <c r="I54" s="26"/>
      <c r="J54" s="26"/>
      <c r="K54" s="2"/>
      <c r="L54" s="26"/>
      <c r="M54" s="26"/>
    </row>
    <row r="55" spans="1:14" ht="26.25" customHeight="1" x14ac:dyDescent="0.25">
      <c r="A55" s="34"/>
      <c r="B55" s="358"/>
      <c r="C55" s="397"/>
      <c r="D55" s="398"/>
      <c r="E55" s="399"/>
      <c r="F55" s="26"/>
      <c r="G55" s="26"/>
      <c r="H55" s="26"/>
      <c r="I55" s="26"/>
      <c r="J55" s="26"/>
      <c r="K55" s="2"/>
      <c r="L55" s="26"/>
      <c r="M55" s="26"/>
    </row>
    <row r="56" spans="1:14" ht="43.5" customHeight="1" x14ac:dyDescent="0.25">
      <c r="A56" s="29"/>
      <c r="B56" s="39" t="s">
        <v>54</v>
      </c>
      <c r="C56" s="344" t="s">
        <v>808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232</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51"/>
      <c r="F64" s="51"/>
      <c r="G64" s="15"/>
      <c r="H64" s="15"/>
      <c r="I64" s="15"/>
      <c r="J64" s="15"/>
      <c r="K64" s="15"/>
      <c r="L64" s="15"/>
      <c r="M64" s="15"/>
      <c r="N64" s="15"/>
    </row>
    <row r="65" spans="1:14" x14ac:dyDescent="0.25">
      <c r="A65" s="13"/>
      <c r="B65" s="21" t="s">
        <v>62</v>
      </c>
      <c r="C65" s="23" t="s">
        <v>360</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490</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x14ac:dyDescent="0.25">
      <c r="A69" s="4"/>
      <c r="B69" s="21" t="s">
        <v>75</v>
      </c>
      <c r="C69" s="53">
        <v>48</v>
      </c>
      <c r="D69" s="54">
        <v>45</v>
      </c>
      <c r="E69" s="54">
        <v>49.4</v>
      </c>
      <c r="F69" s="54">
        <v>59.25</v>
      </c>
      <c r="G69" s="54">
        <v>70.05</v>
      </c>
      <c r="H69" s="53">
        <v>42.85</v>
      </c>
      <c r="I69" s="53">
        <v>41</v>
      </c>
      <c r="J69" s="53">
        <v>62.5</v>
      </c>
      <c r="K69" s="53">
        <v>40</v>
      </c>
      <c r="L69" s="53" t="s">
        <v>48</v>
      </c>
      <c r="M69" s="53" t="s">
        <v>48</v>
      </c>
      <c r="N69" s="53" t="s">
        <v>48</v>
      </c>
    </row>
    <row r="70" spans="1:14" ht="25.5" x14ac:dyDescent="0.2">
      <c r="A70" s="4"/>
      <c r="B70" s="21" t="s">
        <v>491</v>
      </c>
      <c r="C70" s="53">
        <v>32575.17</v>
      </c>
      <c r="D70" s="53">
        <v>31646.46</v>
      </c>
      <c r="E70" s="53">
        <v>33266.160000000003</v>
      </c>
      <c r="F70" s="54">
        <v>32968.68</v>
      </c>
      <c r="G70" s="54">
        <v>36443.980000000003</v>
      </c>
      <c r="H70" s="56">
        <v>29241.48</v>
      </c>
      <c r="I70" s="53">
        <v>38672.910000000003</v>
      </c>
      <c r="J70" s="53">
        <v>38989.65</v>
      </c>
      <c r="K70" s="53">
        <v>32972.559999999998</v>
      </c>
      <c r="L70" s="53" t="s">
        <v>48</v>
      </c>
      <c r="M70" s="53" t="s">
        <v>48</v>
      </c>
      <c r="N70" s="53" t="s">
        <v>48</v>
      </c>
    </row>
    <row r="71" spans="1:14" ht="13.5" x14ac:dyDescent="0.25">
      <c r="A71" s="4"/>
      <c r="B71" s="383" t="s">
        <v>21</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63.75" x14ac:dyDescent="0.25">
      <c r="A79" s="4"/>
      <c r="B79" s="59" t="s">
        <v>84</v>
      </c>
      <c r="C79" s="22" t="s">
        <v>85</v>
      </c>
      <c r="D79" s="22" t="s">
        <v>86</v>
      </c>
      <c r="E79" s="22" t="s">
        <v>280</v>
      </c>
      <c r="F79" s="22" t="s">
        <v>88</v>
      </c>
      <c r="G79" s="22" t="s">
        <v>169</v>
      </c>
      <c r="H79" s="17"/>
      <c r="I79" s="17"/>
      <c r="J79" s="17"/>
      <c r="K79" s="17"/>
      <c r="L79" s="17"/>
      <c r="M79" s="17"/>
      <c r="N79" s="17"/>
    </row>
    <row r="80" spans="1:14" ht="15" customHeight="1" x14ac:dyDescent="0.25">
      <c r="A80" s="4"/>
      <c r="B80" s="316" t="s">
        <v>90</v>
      </c>
      <c r="C80" s="5" t="s">
        <v>492</v>
      </c>
      <c r="D80" s="115">
        <v>5.86</v>
      </c>
      <c r="E80" s="115">
        <v>2.54</v>
      </c>
      <c r="F80" s="176">
        <v>1.83</v>
      </c>
      <c r="G80" s="412" t="s">
        <v>282</v>
      </c>
      <c r="H80" s="62"/>
      <c r="I80" s="62"/>
      <c r="J80" s="62"/>
      <c r="K80" s="62"/>
      <c r="L80" s="62"/>
      <c r="M80" s="62"/>
      <c r="N80" s="62"/>
    </row>
    <row r="81" spans="1:14" x14ac:dyDescent="0.25">
      <c r="A81" s="4"/>
      <c r="B81" s="316"/>
      <c r="C81" s="5" t="s">
        <v>92</v>
      </c>
      <c r="D81" s="63"/>
      <c r="E81" s="180"/>
      <c r="F81" s="176"/>
      <c r="G81" s="413"/>
      <c r="H81" s="62"/>
      <c r="I81" s="62"/>
      <c r="J81" s="62"/>
      <c r="K81" s="62"/>
      <c r="L81" s="62"/>
      <c r="M81" s="62"/>
      <c r="N81" s="62"/>
    </row>
    <row r="82" spans="1:14" x14ac:dyDescent="0.25">
      <c r="A82" s="4"/>
      <c r="B82" s="316"/>
      <c r="C82" s="25" t="s">
        <v>493</v>
      </c>
      <c r="D82" s="63">
        <v>4.91</v>
      </c>
      <c r="E82" s="180">
        <v>3.85</v>
      </c>
      <c r="F82" s="176">
        <v>12.81</v>
      </c>
      <c r="G82" s="413"/>
      <c r="H82" s="62"/>
      <c r="I82" s="62"/>
      <c r="J82" s="62"/>
      <c r="K82" s="62"/>
      <c r="L82" s="62"/>
      <c r="M82" s="62"/>
      <c r="N82" s="62"/>
    </row>
    <row r="83" spans="1:14" x14ac:dyDescent="0.25">
      <c r="A83" s="4"/>
      <c r="B83" s="316"/>
      <c r="C83" s="25" t="s">
        <v>494</v>
      </c>
      <c r="D83" s="63">
        <v>0.63</v>
      </c>
      <c r="E83" s="188">
        <v>-18.899999999999999</v>
      </c>
      <c r="F83" s="176">
        <v>-13.55</v>
      </c>
      <c r="G83" s="413"/>
      <c r="H83" s="62"/>
      <c r="I83" s="62"/>
      <c r="J83" s="62"/>
      <c r="K83" s="62"/>
      <c r="L83" s="62"/>
      <c r="M83" s="62"/>
      <c r="N83" s="62"/>
    </row>
    <row r="84" spans="1:14" ht="15.75" customHeight="1" x14ac:dyDescent="0.25">
      <c r="A84" s="4"/>
      <c r="B84" s="316"/>
      <c r="C84" s="25" t="s">
        <v>495</v>
      </c>
      <c r="D84" s="63" t="s">
        <v>496</v>
      </c>
      <c r="E84" s="180">
        <v>15.96</v>
      </c>
      <c r="F84" s="176">
        <v>19.95</v>
      </c>
      <c r="G84" s="413"/>
      <c r="H84" s="62"/>
      <c r="I84" s="62"/>
      <c r="J84" s="62"/>
      <c r="K84" s="62"/>
      <c r="L84" s="62"/>
      <c r="M84" s="62"/>
      <c r="N84" s="62"/>
    </row>
    <row r="85" spans="1:14" ht="15" customHeight="1" x14ac:dyDescent="0.25">
      <c r="A85" s="4"/>
      <c r="B85" s="316"/>
      <c r="C85" s="25" t="s">
        <v>497</v>
      </c>
      <c r="D85" s="63" t="s">
        <v>498</v>
      </c>
      <c r="E85" s="180">
        <v>3.82</v>
      </c>
      <c r="F85" s="185">
        <v>4</v>
      </c>
      <c r="G85" s="413"/>
      <c r="H85" s="62"/>
      <c r="I85" s="62"/>
      <c r="J85" s="62"/>
      <c r="K85" s="62"/>
      <c r="L85" s="62"/>
      <c r="M85" s="62"/>
      <c r="N85" s="62"/>
    </row>
    <row r="86" spans="1:14" x14ac:dyDescent="0.25">
      <c r="A86" s="4"/>
      <c r="B86" s="316"/>
      <c r="C86" s="5" t="s">
        <v>93</v>
      </c>
      <c r="D86" s="164">
        <f>SUM(D82:D85)/4</f>
        <v>1.385</v>
      </c>
      <c r="E86" s="164">
        <f>SUM(E82:E85)/4</f>
        <v>1.1825000000000006</v>
      </c>
      <c r="F86" s="164">
        <f>SUM(F82:F85)/4</f>
        <v>5.8025000000000002</v>
      </c>
      <c r="G86" s="413"/>
      <c r="H86" s="62"/>
      <c r="I86" s="62"/>
      <c r="J86" s="62"/>
      <c r="K86" s="62"/>
      <c r="L86" s="62"/>
      <c r="M86" s="62"/>
      <c r="N86" s="62"/>
    </row>
    <row r="87" spans="1:14" x14ac:dyDescent="0.2">
      <c r="A87" s="4"/>
      <c r="B87" s="316" t="s">
        <v>94</v>
      </c>
      <c r="C87" s="5" t="s">
        <v>492</v>
      </c>
      <c r="D87" s="93">
        <v>6.83</v>
      </c>
      <c r="E87" s="189">
        <f>F69/E80</f>
        <v>23.326771653543307</v>
      </c>
      <c r="F87" s="185">
        <f>I69/F80</f>
        <v>22.404371584699454</v>
      </c>
      <c r="G87" s="413"/>
      <c r="H87" s="62"/>
      <c r="I87" s="62"/>
      <c r="J87" s="62"/>
      <c r="K87" s="62"/>
      <c r="L87" s="62"/>
      <c r="M87" s="62"/>
      <c r="N87" s="62"/>
    </row>
    <row r="88" spans="1:14" x14ac:dyDescent="0.25">
      <c r="A88" s="4"/>
      <c r="B88" s="316"/>
      <c r="C88" s="5" t="s">
        <v>92</v>
      </c>
      <c r="D88" s="63"/>
      <c r="E88" s="180"/>
      <c r="F88" s="176"/>
      <c r="G88" s="413"/>
      <c r="H88" s="62"/>
      <c r="I88" s="62"/>
      <c r="J88" s="62"/>
      <c r="K88" s="62"/>
      <c r="L88" s="62"/>
      <c r="M88" s="62"/>
      <c r="N88" s="62"/>
    </row>
    <row r="89" spans="1:14" x14ac:dyDescent="0.25">
      <c r="A89" s="4"/>
      <c r="B89" s="316"/>
      <c r="C89" s="25" t="s">
        <v>493</v>
      </c>
      <c r="D89" s="63">
        <v>22</v>
      </c>
      <c r="E89" s="180">
        <f>112.05/E82</f>
        <v>29.103896103896101</v>
      </c>
      <c r="F89" s="179">
        <f>140.1/F82</f>
        <v>10.936768149882903</v>
      </c>
      <c r="G89" s="413"/>
      <c r="H89" s="62"/>
      <c r="I89" s="62"/>
      <c r="J89" s="62"/>
      <c r="K89" s="62"/>
      <c r="L89" s="62"/>
      <c r="M89" s="62"/>
      <c r="N89" s="62"/>
    </row>
    <row r="90" spans="1:14" x14ac:dyDescent="0.25">
      <c r="A90" s="4"/>
      <c r="B90" s="316"/>
      <c r="C90" s="25" t="s">
        <v>494</v>
      </c>
      <c r="D90" s="63">
        <v>80.56</v>
      </c>
      <c r="E90" s="188" t="s">
        <v>126</v>
      </c>
      <c r="F90" s="179">
        <f>9.5/F83</f>
        <v>-0.70110701107011064</v>
      </c>
      <c r="G90" s="413"/>
      <c r="H90" s="62"/>
      <c r="I90" s="62"/>
      <c r="J90" s="62"/>
      <c r="K90" s="62"/>
      <c r="L90" s="62"/>
      <c r="M90" s="62"/>
      <c r="N90" s="62"/>
    </row>
    <row r="91" spans="1:14" x14ac:dyDescent="0.25">
      <c r="A91" s="4"/>
      <c r="B91" s="316"/>
      <c r="C91" s="25" t="s">
        <v>495</v>
      </c>
      <c r="D91" s="63">
        <v>32.33</v>
      </c>
      <c r="E91" s="180">
        <f>407.45/E84</f>
        <v>25.529448621553883</v>
      </c>
      <c r="F91" s="179">
        <f>290.6/F84</f>
        <v>14.566416040100252</v>
      </c>
      <c r="G91" s="413"/>
      <c r="H91" s="62"/>
      <c r="I91" s="62"/>
      <c r="J91" s="62"/>
      <c r="K91" s="62"/>
      <c r="L91" s="62"/>
      <c r="M91" s="62"/>
      <c r="N91" s="62"/>
    </row>
    <row r="92" spans="1:14" x14ac:dyDescent="0.25">
      <c r="A92" s="4"/>
      <c r="B92" s="316"/>
      <c r="C92" s="25" t="s">
        <v>497</v>
      </c>
      <c r="D92" s="63">
        <v>23.34</v>
      </c>
      <c r="E92" s="180">
        <f>107/E85</f>
        <v>28.010471204188484</v>
      </c>
      <c r="F92" s="179">
        <f>75.95/F85</f>
        <v>18.987500000000001</v>
      </c>
      <c r="G92" s="413"/>
      <c r="H92" s="62"/>
      <c r="I92" s="62"/>
      <c r="J92" s="62"/>
      <c r="K92" s="62"/>
      <c r="L92" s="62"/>
      <c r="M92" s="62"/>
      <c r="N92" s="62"/>
    </row>
    <row r="93" spans="1:14" x14ac:dyDescent="0.25">
      <c r="A93" s="4"/>
      <c r="B93" s="316"/>
      <c r="C93" s="5" t="s">
        <v>93</v>
      </c>
      <c r="D93" s="164">
        <f>SUM(D89:D92)/4</f>
        <v>39.557499999999997</v>
      </c>
      <c r="E93" s="164">
        <f>SUM(E89:E92)/4</f>
        <v>20.660953982409616</v>
      </c>
      <c r="F93" s="164">
        <f>SUM(F89:F92)/4</f>
        <v>10.947394294728262</v>
      </c>
      <c r="G93" s="413"/>
      <c r="H93" s="62"/>
      <c r="I93" s="62"/>
      <c r="J93" s="62"/>
      <c r="K93" s="62"/>
      <c r="L93" s="62"/>
      <c r="M93" s="62"/>
      <c r="N93" s="62"/>
    </row>
    <row r="94" spans="1:14" x14ac:dyDescent="0.2">
      <c r="A94" s="4"/>
      <c r="B94" s="316" t="s">
        <v>95</v>
      </c>
      <c r="C94" s="5" t="s">
        <v>492</v>
      </c>
      <c r="D94" s="91">
        <v>23.19</v>
      </c>
      <c r="E94" s="194">
        <f>120.75/1033.63</f>
        <v>0.11682129969137892</v>
      </c>
      <c r="F94" s="179">
        <f>93.64/1108.81*100</f>
        <v>8.4450897809363195</v>
      </c>
      <c r="G94" s="413"/>
      <c r="H94" s="62"/>
      <c r="I94" s="62"/>
      <c r="J94" s="62"/>
      <c r="K94" s="62"/>
      <c r="L94" s="62"/>
      <c r="M94" s="62"/>
      <c r="N94" s="62"/>
    </row>
    <row r="95" spans="1:14" x14ac:dyDescent="0.25">
      <c r="A95" s="4"/>
      <c r="B95" s="316"/>
      <c r="C95" s="5" t="s">
        <v>92</v>
      </c>
      <c r="D95" s="63"/>
      <c r="E95" s="180"/>
      <c r="F95" s="176"/>
      <c r="G95" s="413"/>
      <c r="H95" s="62"/>
      <c r="I95" s="62"/>
      <c r="J95" s="62"/>
      <c r="K95" s="62"/>
      <c r="L95" s="62"/>
      <c r="M95" s="62"/>
      <c r="N95" s="62"/>
    </row>
    <row r="96" spans="1:14" x14ac:dyDescent="0.25">
      <c r="A96" s="4"/>
      <c r="B96" s="316"/>
      <c r="C96" s="25" t="s">
        <v>493</v>
      </c>
      <c r="D96" s="63">
        <v>7.36</v>
      </c>
      <c r="E96" s="195">
        <f>110.92/2148.87*100</f>
        <v>5.1617827043981261</v>
      </c>
      <c r="F96" s="185">
        <f>369.1/2490.89*100</f>
        <v>14.817996780267295</v>
      </c>
      <c r="G96" s="413"/>
      <c r="H96" s="62"/>
      <c r="I96" s="62"/>
      <c r="J96" s="62"/>
      <c r="K96" s="62"/>
      <c r="L96" s="62"/>
      <c r="M96" s="62"/>
      <c r="N96" s="62"/>
    </row>
    <row r="97" spans="1:14" x14ac:dyDescent="0.25">
      <c r="A97" s="4"/>
      <c r="B97" s="316"/>
      <c r="C97" s="25" t="s">
        <v>494</v>
      </c>
      <c r="D97" s="63">
        <v>1.17</v>
      </c>
      <c r="E97" s="185">
        <f>-653.45/1188.49*100</f>
        <v>-54.981531186631784</v>
      </c>
      <c r="F97" s="197">
        <f>-468.48/733.54*100</f>
        <v>-63.865637865692406</v>
      </c>
      <c r="G97" s="413"/>
      <c r="H97" s="62"/>
      <c r="I97" s="62"/>
      <c r="J97" s="62"/>
      <c r="K97" s="62"/>
      <c r="L97" s="62"/>
      <c r="M97" s="62"/>
      <c r="N97" s="62"/>
    </row>
    <row r="98" spans="1:14" x14ac:dyDescent="0.25">
      <c r="A98" s="4"/>
      <c r="B98" s="316"/>
      <c r="C98" s="25" t="s">
        <v>495</v>
      </c>
      <c r="D98" s="63">
        <v>7.75</v>
      </c>
      <c r="E98" s="195">
        <f>798.05/6655.58*100</f>
        <v>11.990690518331986</v>
      </c>
      <c r="F98" s="185">
        <f>997.61/7500.73*100</f>
        <v>13.300172116580653</v>
      </c>
      <c r="G98" s="413"/>
      <c r="H98" s="62"/>
      <c r="I98" s="62"/>
      <c r="J98" s="62"/>
      <c r="K98" s="62"/>
      <c r="L98" s="62"/>
      <c r="M98" s="62"/>
      <c r="N98" s="62"/>
    </row>
    <row r="99" spans="1:14" x14ac:dyDescent="0.25">
      <c r="A99" s="4"/>
      <c r="B99" s="316"/>
      <c r="C99" s="25" t="s">
        <v>497</v>
      </c>
      <c r="D99" s="63">
        <v>2.82</v>
      </c>
      <c r="E99" s="195">
        <f>84.26/4410.78*100</f>
        <v>1.9103197166940997</v>
      </c>
      <c r="F99" s="185">
        <f>233.72/4586.34*100</f>
        <v>5.096002476920594</v>
      </c>
      <c r="G99" s="413"/>
      <c r="H99" s="62"/>
      <c r="I99" s="62"/>
      <c r="J99" s="62"/>
      <c r="K99" s="62"/>
      <c r="L99" s="62"/>
      <c r="M99" s="62"/>
      <c r="N99" s="62"/>
    </row>
    <row r="100" spans="1:14" x14ac:dyDescent="0.25">
      <c r="A100" s="4"/>
      <c r="B100" s="316"/>
      <c r="C100" s="5" t="s">
        <v>93</v>
      </c>
      <c r="D100" s="164">
        <f>SUM(D96:D99)/4</f>
        <v>4.7750000000000004</v>
      </c>
      <c r="E100" s="164">
        <f>SUM(E96:E99)/4</f>
        <v>-8.9796845618018928</v>
      </c>
      <c r="F100" s="164">
        <f>SUM(F96:F99)/4</f>
        <v>-7.6628666229809657</v>
      </c>
      <c r="G100" s="413"/>
      <c r="H100" s="62"/>
      <c r="I100" s="62"/>
      <c r="J100" s="62"/>
      <c r="K100" s="66"/>
      <c r="L100" s="62"/>
      <c r="M100" s="62"/>
      <c r="N100" s="62"/>
    </row>
    <row r="101" spans="1:14" x14ac:dyDescent="0.2">
      <c r="A101" s="4"/>
      <c r="B101" s="316" t="s">
        <v>96</v>
      </c>
      <c r="C101" s="5" t="s">
        <v>492</v>
      </c>
      <c r="D101" s="91">
        <v>13.87</v>
      </c>
      <c r="E101" s="189">
        <f>1033.63/51.05</f>
        <v>20.247404505386879</v>
      </c>
      <c r="F101" s="179">
        <f>1108.81*100000/5105000</f>
        <v>21.72007835455436</v>
      </c>
      <c r="G101" s="413"/>
      <c r="H101" s="62"/>
      <c r="I101" s="62"/>
      <c r="J101" s="62"/>
      <c r="K101" s="62"/>
      <c r="L101" s="62"/>
      <c r="M101" s="62"/>
      <c r="N101" s="62"/>
    </row>
    <row r="102" spans="1:14" x14ac:dyDescent="0.25">
      <c r="A102" s="4"/>
      <c r="B102" s="316"/>
      <c r="C102" s="5" t="s">
        <v>92</v>
      </c>
      <c r="D102" s="63"/>
      <c r="E102" s="180"/>
      <c r="F102" s="179"/>
      <c r="G102" s="413"/>
      <c r="H102" s="62"/>
      <c r="I102" s="62"/>
      <c r="J102" s="62"/>
      <c r="K102" s="62"/>
      <c r="L102" s="62"/>
      <c r="M102" s="62"/>
      <c r="N102" s="62"/>
    </row>
    <row r="103" spans="1:14" x14ac:dyDescent="0.25">
      <c r="A103" s="4"/>
      <c r="B103" s="386"/>
      <c r="C103" s="25" t="s">
        <v>493</v>
      </c>
      <c r="D103" s="63">
        <v>70.78</v>
      </c>
      <c r="E103" s="180">
        <f>2148.87/28.8</f>
        <v>74.613541666666663</v>
      </c>
      <c r="F103" s="185">
        <f>2490.89*100000/2880700</f>
        <v>86.468219529975357</v>
      </c>
      <c r="G103" s="413"/>
      <c r="H103" s="62"/>
      <c r="I103" s="62"/>
      <c r="J103" s="62"/>
      <c r="K103" s="62"/>
      <c r="L103" s="62"/>
      <c r="M103" s="62"/>
      <c r="N103" s="62"/>
    </row>
    <row r="104" spans="1:14" x14ac:dyDescent="0.25">
      <c r="A104" s="4"/>
      <c r="B104" s="386"/>
      <c r="C104" s="25" t="s">
        <v>494</v>
      </c>
      <c r="D104" s="63">
        <v>53.6</v>
      </c>
      <c r="E104" s="188">
        <f>1188.49*100000/3457200</f>
        <v>34.377241698484326</v>
      </c>
      <c r="F104" s="185">
        <f>733.54*100000/3457200</f>
        <v>21.217748466967489</v>
      </c>
      <c r="G104" s="413"/>
      <c r="H104" s="62"/>
      <c r="I104" s="62"/>
      <c r="J104" s="62"/>
      <c r="K104" s="62"/>
      <c r="L104" s="62"/>
      <c r="M104" s="62"/>
      <c r="N104" s="62"/>
    </row>
    <row r="105" spans="1:14" x14ac:dyDescent="0.25">
      <c r="A105" s="4"/>
      <c r="B105" s="386"/>
      <c r="C105" s="25" t="s">
        <v>495</v>
      </c>
      <c r="D105" s="63">
        <v>110.84</v>
      </c>
      <c r="E105" s="180">
        <f>6655.58/50</f>
        <v>133.11160000000001</v>
      </c>
      <c r="F105" s="185">
        <f>7500.73*100000/5000000</f>
        <v>150.0146</v>
      </c>
      <c r="G105" s="413"/>
      <c r="H105" s="62"/>
      <c r="I105" s="62"/>
      <c r="J105" s="62"/>
      <c r="K105" s="62"/>
      <c r="L105" s="62"/>
      <c r="M105" s="62"/>
      <c r="N105" s="62"/>
    </row>
    <row r="106" spans="1:14" x14ac:dyDescent="0.25">
      <c r="A106" s="4"/>
      <c r="B106" s="386"/>
      <c r="C106" s="25" t="s">
        <v>497</v>
      </c>
      <c r="D106" s="63">
        <v>93.55</v>
      </c>
      <c r="E106" s="180">
        <f>4410.78/25.7</f>
        <v>171.62568093385212</v>
      </c>
      <c r="F106" s="185">
        <f>4586.34*100000/2570700</f>
        <v>178.40821566110398</v>
      </c>
      <c r="G106" s="413"/>
      <c r="H106" s="62"/>
      <c r="I106" s="62"/>
      <c r="J106" s="62"/>
      <c r="K106" s="62"/>
      <c r="L106" s="62"/>
      <c r="M106" s="62"/>
      <c r="N106" s="62"/>
    </row>
    <row r="107" spans="1:14" x14ac:dyDescent="0.25">
      <c r="A107" s="4"/>
      <c r="B107" s="386"/>
      <c r="C107" s="5" t="s">
        <v>93</v>
      </c>
      <c r="D107" s="164">
        <f>SUM(D103:D106)/4</f>
        <v>82.192499999999995</v>
      </c>
      <c r="E107" s="164">
        <f>SUM(E103:E106)/4</f>
        <v>103.43201607475078</v>
      </c>
      <c r="F107" s="164">
        <f>SUM(F103:F106)/4</f>
        <v>109.02719591451171</v>
      </c>
      <c r="G107" s="413"/>
      <c r="H107" s="62"/>
      <c r="I107" s="62"/>
      <c r="J107" s="62"/>
      <c r="K107" s="62"/>
      <c r="L107" s="62"/>
      <c r="M107" s="62"/>
      <c r="N107" s="62"/>
    </row>
    <row r="108" spans="1:14" s="57" customFormat="1" x14ac:dyDescent="0.25">
      <c r="B108" s="387"/>
      <c r="C108" s="388"/>
      <c r="D108" s="388"/>
      <c r="E108" s="388"/>
      <c r="F108" s="388"/>
      <c r="G108" s="389"/>
    </row>
    <row r="109" spans="1:14" x14ac:dyDescent="0.25">
      <c r="A109" s="4"/>
      <c r="B109" s="376" t="s">
        <v>499</v>
      </c>
      <c r="C109" s="377"/>
      <c r="D109" s="377"/>
      <c r="E109" s="377"/>
      <c r="F109" s="377"/>
      <c r="G109" s="378"/>
      <c r="H109" s="62"/>
      <c r="I109" s="62"/>
      <c r="J109" s="62"/>
      <c r="K109" s="62"/>
      <c r="L109" s="62"/>
      <c r="M109" s="62"/>
      <c r="N109" s="62"/>
    </row>
    <row r="110" spans="1:14" x14ac:dyDescent="0.25">
      <c r="A110" s="4"/>
      <c r="B110" s="379" t="s">
        <v>128</v>
      </c>
      <c r="C110" s="380"/>
      <c r="D110" s="380"/>
      <c r="E110" s="380"/>
      <c r="F110" s="380"/>
      <c r="G110" s="381"/>
      <c r="H110" s="62"/>
      <c r="I110" s="62"/>
      <c r="J110" s="62"/>
      <c r="K110" s="62"/>
      <c r="L110" s="62"/>
      <c r="M110" s="62"/>
      <c r="N110" s="62"/>
    </row>
    <row r="111" spans="1:14" x14ac:dyDescent="0.25">
      <c r="A111" s="4"/>
      <c r="B111" s="353"/>
      <c r="C111" s="354"/>
      <c r="D111" s="354"/>
      <c r="E111" s="354"/>
      <c r="F111" s="354"/>
      <c r="G111" s="355"/>
      <c r="H111" s="62"/>
      <c r="I111" s="62"/>
      <c r="J111" s="62"/>
      <c r="K111" s="62"/>
      <c r="L111" s="62"/>
      <c r="M111" s="62"/>
      <c r="N111" s="62"/>
    </row>
    <row r="112" spans="1:14" x14ac:dyDescent="0.25">
      <c r="A112" s="26"/>
      <c r="B112" s="12"/>
      <c r="C112" s="323"/>
      <c r="D112" s="323"/>
      <c r="E112" s="323"/>
      <c r="F112" s="323"/>
      <c r="G112" s="323"/>
      <c r="H112" s="62"/>
      <c r="I112" s="62"/>
      <c r="J112" s="26"/>
      <c r="K112" s="26"/>
      <c r="L112" s="26"/>
      <c r="M112" s="26"/>
      <c r="N112" s="26"/>
    </row>
    <row r="113" spans="1:14" x14ac:dyDescent="0.25">
      <c r="A113" s="13">
        <v>14</v>
      </c>
      <c r="B113" s="70" t="s">
        <v>99</v>
      </c>
      <c r="C113" s="324" t="s">
        <v>48</v>
      </c>
      <c r="D113" s="325"/>
      <c r="E113" s="325"/>
      <c r="F113" s="325"/>
      <c r="G113" s="326"/>
      <c r="H113" s="26"/>
      <c r="I113" s="26"/>
      <c r="J113" s="26"/>
      <c r="K113" s="26"/>
      <c r="L113" s="26"/>
      <c r="M113" s="26"/>
      <c r="N113" s="26"/>
    </row>
    <row r="114" spans="1:14" x14ac:dyDescent="0.25">
      <c r="A114" s="71"/>
      <c r="B114" s="26"/>
      <c r="C114" s="84"/>
      <c r="D114" s="84"/>
      <c r="E114" s="84"/>
      <c r="F114" s="84"/>
      <c r="G114" s="84"/>
      <c r="H114" s="26"/>
      <c r="I114" s="26"/>
      <c r="J114" s="26"/>
      <c r="K114" s="26"/>
      <c r="L114" s="26"/>
      <c r="M114" s="26"/>
      <c r="N114" s="26"/>
    </row>
    <row r="115" spans="1:14" x14ac:dyDescent="0.25">
      <c r="A115" s="26"/>
      <c r="B115" s="374" t="s">
        <v>500</v>
      </c>
      <c r="C115" s="375"/>
      <c r="D115" s="375"/>
      <c r="E115" s="375"/>
      <c r="F115" s="375"/>
      <c r="G115" s="375"/>
      <c r="H115" s="375"/>
      <c r="I115" s="26"/>
      <c r="J115" s="26"/>
      <c r="K115" s="26"/>
      <c r="L115" s="26"/>
      <c r="M115" s="26"/>
      <c r="N115" s="26"/>
    </row>
    <row r="116" spans="1:14" x14ac:dyDescent="0.25">
      <c r="A116" s="26"/>
      <c r="I116" s="26"/>
      <c r="J116" s="26"/>
      <c r="K116" s="26"/>
      <c r="L116" s="26"/>
      <c r="M116" s="26"/>
      <c r="N116" s="26"/>
    </row>
    <row r="117" spans="1:14" x14ac:dyDescent="0.25">
      <c r="A117" s="26"/>
      <c r="J117" s="26"/>
      <c r="K117" s="26"/>
      <c r="L117" s="26"/>
      <c r="M117" s="26"/>
      <c r="N117" s="26"/>
    </row>
  </sheetData>
  <sheetProtection password="E9DF"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6"/>
    <mergeCell ref="G80:G107"/>
    <mergeCell ref="B87:B93"/>
    <mergeCell ref="B94:B100"/>
    <mergeCell ref="B101:B107"/>
    <mergeCell ref="B115:H115"/>
    <mergeCell ref="B108:G108"/>
    <mergeCell ref="B109:G109"/>
    <mergeCell ref="B110:G110"/>
    <mergeCell ref="B111:G111"/>
    <mergeCell ref="C112:G112"/>
    <mergeCell ref="C113:G1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opLeftCell="A50" workbookViewId="0">
      <selection activeCell="B73" sqref="B73:N73"/>
    </sheetView>
  </sheetViews>
  <sheetFormatPr defaultColWidth="8.85546875" defaultRowHeight="12.75" x14ac:dyDescent="0.25"/>
  <cols>
    <col min="1" max="1" width="8.85546875" style="73"/>
    <col min="2"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501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502</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503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474</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809</v>
      </c>
      <c r="C27" s="365"/>
      <c r="D27" s="365"/>
      <c r="E27" s="366"/>
      <c r="F27" s="19"/>
      <c r="G27" s="26"/>
      <c r="H27" s="26"/>
      <c r="I27" s="26"/>
      <c r="J27" s="26"/>
      <c r="K27" s="26"/>
      <c r="L27" s="26"/>
      <c r="M27" s="26"/>
      <c r="N27" s="26"/>
    </row>
    <row r="28" spans="1:14" x14ac:dyDescent="0.25">
      <c r="A28" s="13"/>
      <c r="B28" s="21" t="s">
        <v>24</v>
      </c>
      <c r="C28" s="22" t="s">
        <v>264</v>
      </c>
      <c r="D28" s="22" t="s">
        <v>26</v>
      </c>
      <c r="E28" s="183" t="s">
        <v>355</v>
      </c>
      <c r="F28" s="19"/>
      <c r="G28" s="26"/>
      <c r="H28" s="26"/>
      <c r="I28" s="26"/>
      <c r="J28" s="26"/>
      <c r="K28" s="26"/>
      <c r="L28" s="26"/>
      <c r="M28" s="26"/>
      <c r="N28" s="26"/>
    </row>
    <row r="29" spans="1:14" x14ac:dyDescent="0.25">
      <c r="A29" s="13"/>
      <c r="B29" s="23" t="s">
        <v>28</v>
      </c>
      <c r="C29" s="185">
        <f>1345576836/100000</f>
        <v>13455.76836</v>
      </c>
      <c r="D29" s="136">
        <v>16698.27</v>
      </c>
      <c r="E29" s="420" t="s">
        <v>265</v>
      </c>
      <c r="F29" s="19"/>
      <c r="G29" s="26"/>
      <c r="H29" s="26"/>
      <c r="I29" s="26"/>
      <c r="J29" s="26"/>
      <c r="K29" s="26"/>
      <c r="L29" s="26"/>
      <c r="M29" s="26"/>
      <c r="N29" s="26"/>
    </row>
    <row r="30" spans="1:14" x14ac:dyDescent="0.25">
      <c r="A30" s="13"/>
      <c r="B30" s="23" t="s">
        <v>29</v>
      </c>
      <c r="C30" s="185">
        <f>48904880/100000</f>
        <v>489.04880000000003</v>
      </c>
      <c r="D30" s="184">
        <v>733.78</v>
      </c>
      <c r="E30" s="421"/>
      <c r="F30" s="19"/>
      <c r="G30" s="26"/>
      <c r="H30" s="26"/>
      <c r="I30" s="26"/>
      <c r="J30" s="26"/>
      <c r="K30" s="26"/>
      <c r="L30" s="26"/>
      <c r="M30" s="26"/>
      <c r="N30" s="26"/>
    </row>
    <row r="31" spans="1:14" x14ac:dyDescent="0.25">
      <c r="A31" s="13"/>
      <c r="B31" s="23" t="s">
        <v>30</v>
      </c>
      <c r="C31" s="185">
        <f>74040000/100000</f>
        <v>740.4</v>
      </c>
      <c r="D31" s="185">
        <f>74040000/100000</f>
        <v>740.4</v>
      </c>
      <c r="E31" s="421"/>
      <c r="F31" s="19"/>
      <c r="G31" s="26"/>
      <c r="H31" s="26"/>
      <c r="I31" s="26"/>
      <c r="J31" s="26"/>
      <c r="K31" s="26"/>
      <c r="L31" s="26"/>
      <c r="M31" s="26"/>
      <c r="N31" s="26"/>
    </row>
    <row r="32" spans="1:14" x14ac:dyDescent="0.25">
      <c r="A32" s="13"/>
      <c r="B32" s="23" t="s">
        <v>31</v>
      </c>
      <c r="C32" s="185">
        <f>159433692/100000</f>
        <v>1594.33692</v>
      </c>
      <c r="D32" s="184">
        <v>2298.19</v>
      </c>
      <c r="E32" s="422"/>
      <c r="F32" s="19"/>
      <c r="G32" s="26"/>
      <c r="H32" s="26"/>
      <c r="I32" s="26"/>
      <c r="J32" s="26"/>
      <c r="K32" s="26"/>
      <c r="L32" s="26"/>
      <c r="M32" s="26"/>
      <c r="N32" s="26"/>
    </row>
    <row r="33" spans="1:14" x14ac:dyDescent="0.25">
      <c r="A33" s="13"/>
      <c r="B33" s="353" t="s">
        <v>505</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30.75" customHeight="1" x14ac:dyDescent="0.25">
      <c r="A35" s="13">
        <v>7</v>
      </c>
      <c r="B35" s="338" t="s">
        <v>33</v>
      </c>
      <c r="C35" s="339"/>
      <c r="D35" s="339"/>
      <c r="E35" s="340"/>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184"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x14ac:dyDescent="0.25">
      <c r="A44" s="13"/>
      <c r="B44" s="21" t="s">
        <v>36</v>
      </c>
      <c r="C44" s="350" t="s">
        <v>16</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51" x14ac:dyDescent="0.25">
      <c r="A50" s="34"/>
      <c r="B50" s="94" t="s">
        <v>369</v>
      </c>
      <c r="C50" s="94" t="s">
        <v>506</v>
      </c>
      <c r="D50" s="33"/>
      <c r="E50" s="32"/>
      <c r="F50" s="26"/>
      <c r="G50" s="26"/>
      <c r="H50" s="26"/>
      <c r="I50" s="26"/>
      <c r="J50" s="26"/>
      <c r="K50" s="26"/>
      <c r="L50" s="26"/>
      <c r="M50" s="26"/>
    </row>
    <row r="51" spans="1:14" x14ac:dyDescent="0.25">
      <c r="A51" s="36"/>
      <c r="B51" s="345" t="s">
        <v>507</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508</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507</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4" x14ac:dyDescent="0.25">
      <c r="A65" s="13"/>
      <c r="B65" s="21" t="s">
        <v>62</v>
      </c>
      <c r="C65" s="23" t="s">
        <v>509</v>
      </c>
      <c r="D65" s="19"/>
      <c r="E65" s="52"/>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510</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x14ac:dyDescent="0.25">
      <c r="A69" s="4"/>
      <c r="B69" s="21" t="s">
        <v>165</v>
      </c>
      <c r="C69" s="53">
        <v>42.9</v>
      </c>
      <c r="D69" s="54">
        <v>36.5</v>
      </c>
      <c r="E69" s="54">
        <v>38.5</v>
      </c>
      <c r="F69" s="54">
        <v>39</v>
      </c>
      <c r="G69" s="54">
        <v>50.4</v>
      </c>
      <c r="H69" s="53">
        <v>30.5</v>
      </c>
      <c r="I69" s="53">
        <v>24.1</v>
      </c>
      <c r="J69" s="53">
        <v>45</v>
      </c>
      <c r="K69" s="53">
        <v>18.75</v>
      </c>
      <c r="L69" s="53" t="s">
        <v>48</v>
      </c>
      <c r="M69" s="53" t="s">
        <v>48</v>
      </c>
      <c r="N69" s="53" t="s">
        <v>48</v>
      </c>
    </row>
    <row r="70" spans="1:14" ht="25.5" x14ac:dyDescent="0.25">
      <c r="A70" s="4"/>
      <c r="B70" s="21" t="s">
        <v>166</v>
      </c>
      <c r="C70" s="53">
        <v>10013.65</v>
      </c>
      <c r="D70" s="53">
        <v>9912.85</v>
      </c>
      <c r="E70" s="53">
        <v>10440.5</v>
      </c>
      <c r="F70" s="54">
        <v>10113.700000000001</v>
      </c>
      <c r="G70" s="54">
        <v>11171.55</v>
      </c>
      <c r="H70" s="54">
        <v>9075.15</v>
      </c>
      <c r="I70" s="53">
        <v>11623.9</v>
      </c>
      <c r="J70" s="53">
        <v>11760.2</v>
      </c>
      <c r="K70" s="53">
        <v>10004.549999999999</v>
      </c>
      <c r="L70" s="53" t="s">
        <v>48</v>
      </c>
      <c r="M70" s="53" t="s">
        <v>48</v>
      </c>
      <c r="N70" s="53" t="s">
        <v>48</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59" t="s">
        <v>84</v>
      </c>
      <c r="C79" s="22" t="s">
        <v>85</v>
      </c>
      <c r="D79" s="22" t="s">
        <v>86</v>
      </c>
      <c r="E79" s="22" t="s">
        <v>280</v>
      </c>
      <c r="F79" s="22" t="s">
        <v>88</v>
      </c>
      <c r="G79" s="22" t="s">
        <v>169</v>
      </c>
      <c r="H79" s="17"/>
      <c r="I79" s="17"/>
      <c r="J79" s="17"/>
      <c r="K79" s="17"/>
      <c r="L79" s="17"/>
      <c r="M79" s="17"/>
      <c r="N79" s="17"/>
    </row>
    <row r="80" spans="1:14" x14ac:dyDescent="0.2">
      <c r="A80" s="4"/>
      <c r="B80" s="316" t="s">
        <v>90</v>
      </c>
      <c r="C80" s="5" t="s">
        <v>511</v>
      </c>
      <c r="D80" s="91">
        <v>7.01</v>
      </c>
      <c r="E80" s="61">
        <v>7.31</v>
      </c>
      <c r="F80" s="184">
        <v>9.91</v>
      </c>
      <c r="G80" s="412" t="s">
        <v>282</v>
      </c>
      <c r="H80" s="62"/>
      <c r="I80" s="62"/>
      <c r="J80" s="62"/>
      <c r="K80" s="62"/>
      <c r="L80" s="62"/>
      <c r="M80" s="62"/>
      <c r="N80" s="62"/>
    </row>
    <row r="81" spans="1:14" x14ac:dyDescent="0.25">
      <c r="A81" s="4"/>
      <c r="B81" s="316"/>
      <c r="C81" s="5" t="s">
        <v>92</v>
      </c>
      <c r="D81" s="63"/>
      <c r="E81" s="61"/>
      <c r="F81" s="184"/>
      <c r="G81" s="413"/>
      <c r="H81" s="62"/>
      <c r="I81" s="62"/>
      <c r="J81" s="62"/>
      <c r="K81" s="62"/>
      <c r="L81" s="62"/>
      <c r="M81" s="62"/>
      <c r="N81" s="62"/>
    </row>
    <row r="82" spans="1:14" x14ac:dyDescent="0.25">
      <c r="A82" s="4"/>
      <c r="B82" s="316"/>
      <c r="C82" s="25" t="s">
        <v>512</v>
      </c>
      <c r="D82" s="63">
        <v>1.26</v>
      </c>
      <c r="E82" s="61">
        <v>3.15</v>
      </c>
      <c r="F82" s="184">
        <v>3.38</v>
      </c>
      <c r="G82" s="413"/>
      <c r="H82" s="62"/>
      <c r="I82" s="62"/>
      <c r="J82" s="62"/>
      <c r="K82" s="62"/>
      <c r="L82" s="62"/>
      <c r="M82" s="62"/>
      <c r="N82" s="62"/>
    </row>
    <row r="83" spans="1:14" x14ac:dyDescent="0.25">
      <c r="A83" s="4"/>
      <c r="B83" s="316"/>
      <c r="C83" s="25" t="s">
        <v>513</v>
      </c>
      <c r="D83" s="63">
        <v>1.55</v>
      </c>
      <c r="E83" s="81" t="s">
        <v>126</v>
      </c>
      <c r="F83" s="184">
        <v>0.39</v>
      </c>
      <c r="G83" s="413"/>
      <c r="H83" s="62"/>
      <c r="I83" s="62"/>
      <c r="J83" s="62"/>
      <c r="K83" s="62"/>
      <c r="L83" s="62"/>
      <c r="M83" s="62"/>
      <c r="N83" s="62"/>
    </row>
    <row r="84" spans="1:14" ht="25.5" x14ac:dyDescent="0.25">
      <c r="A84" s="4"/>
      <c r="B84" s="316"/>
      <c r="C84" s="25" t="s">
        <v>810</v>
      </c>
      <c r="D84" s="63">
        <v>0.6</v>
      </c>
      <c r="E84" s="61">
        <v>1.18</v>
      </c>
      <c r="F84" s="184">
        <v>2.12</v>
      </c>
      <c r="G84" s="413"/>
      <c r="H84" s="62"/>
      <c r="I84" s="62"/>
      <c r="J84" s="62"/>
      <c r="K84" s="62"/>
      <c r="L84" s="62"/>
      <c r="M84" s="62"/>
      <c r="N84" s="62"/>
    </row>
    <row r="85" spans="1:14" x14ac:dyDescent="0.25">
      <c r="A85" s="4"/>
      <c r="B85" s="316"/>
      <c r="C85" s="5" t="s">
        <v>93</v>
      </c>
      <c r="D85" s="164">
        <f>SUM(D82:D84)/3</f>
        <v>1.1366666666666667</v>
      </c>
      <c r="E85" s="164">
        <f>SUM(E82:E84)/3</f>
        <v>1.4433333333333334</v>
      </c>
      <c r="F85" s="164">
        <f>SUM(F82:F84)/3</f>
        <v>1.9633333333333336</v>
      </c>
      <c r="G85" s="413"/>
      <c r="H85" s="62"/>
      <c r="I85" s="62"/>
      <c r="J85" s="62"/>
      <c r="K85" s="62"/>
      <c r="L85" s="62"/>
      <c r="M85" s="62"/>
      <c r="N85" s="62"/>
    </row>
    <row r="86" spans="1:14" x14ac:dyDescent="0.2">
      <c r="A86" s="4"/>
      <c r="B86" s="316" t="s">
        <v>94</v>
      </c>
      <c r="C86" s="5" t="s">
        <v>511</v>
      </c>
      <c r="D86" s="93">
        <v>7.13</v>
      </c>
      <c r="E86" s="64">
        <f>F69/E80</f>
        <v>5.3351573187414507</v>
      </c>
      <c r="F86" s="185">
        <f>I69/F80</f>
        <v>2.4318869828456107</v>
      </c>
      <c r="G86" s="413"/>
      <c r="H86" s="62"/>
      <c r="I86" s="62"/>
      <c r="J86" s="62"/>
      <c r="K86" s="62"/>
      <c r="L86" s="62"/>
      <c r="M86" s="62"/>
      <c r="N86" s="62"/>
    </row>
    <row r="87" spans="1:14" x14ac:dyDescent="0.25">
      <c r="A87" s="4"/>
      <c r="B87" s="316"/>
      <c r="C87" s="5" t="s">
        <v>92</v>
      </c>
      <c r="D87" s="63"/>
      <c r="E87" s="61"/>
      <c r="F87" s="184"/>
      <c r="G87" s="413"/>
      <c r="H87" s="62"/>
      <c r="I87" s="62"/>
      <c r="J87" s="62"/>
      <c r="K87" s="62"/>
      <c r="L87" s="62"/>
      <c r="M87" s="62"/>
      <c r="N87" s="62"/>
    </row>
    <row r="88" spans="1:14" x14ac:dyDescent="0.25">
      <c r="A88" s="4"/>
      <c r="B88" s="316"/>
      <c r="C88" s="25" t="s">
        <v>512</v>
      </c>
      <c r="D88" s="63">
        <v>13.91</v>
      </c>
      <c r="E88" s="64">
        <f>46.75/E82</f>
        <v>14.841269841269842</v>
      </c>
      <c r="F88" s="197">
        <f>30.65/F82</f>
        <v>9.0680473372781059</v>
      </c>
      <c r="G88" s="413"/>
      <c r="H88" s="62"/>
      <c r="I88" s="62"/>
      <c r="J88" s="62"/>
      <c r="K88" s="62"/>
      <c r="L88" s="62"/>
      <c r="M88" s="62"/>
      <c r="N88" s="62"/>
    </row>
    <row r="89" spans="1:14" x14ac:dyDescent="0.25">
      <c r="A89" s="4"/>
      <c r="B89" s="316"/>
      <c r="C89" s="25" t="s">
        <v>513</v>
      </c>
      <c r="D89" s="63">
        <v>17.39</v>
      </c>
      <c r="E89" s="81" t="s">
        <v>126</v>
      </c>
      <c r="F89" s="196">
        <f>12/F83</f>
        <v>30.769230769230766</v>
      </c>
      <c r="G89" s="413"/>
      <c r="H89" s="62"/>
      <c r="I89" s="62"/>
      <c r="J89" s="62"/>
      <c r="K89" s="62"/>
      <c r="L89" s="62"/>
      <c r="M89" s="62"/>
      <c r="N89" s="62"/>
    </row>
    <row r="90" spans="1:14" ht="25.5" x14ac:dyDescent="0.25">
      <c r="A90" s="4"/>
      <c r="B90" s="316"/>
      <c r="C90" s="25" t="s">
        <v>810</v>
      </c>
      <c r="D90" s="63">
        <v>12.01</v>
      </c>
      <c r="E90" s="64">
        <f>19.95/E84</f>
        <v>16.906779661016948</v>
      </c>
      <c r="F90" s="202">
        <f>9.1/F84</f>
        <v>4.2924528301886786</v>
      </c>
      <c r="G90" s="413"/>
      <c r="H90" s="62"/>
      <c r="I90" s="62"/>
      <c r="J90" s="62"/>
      <c r="K90" s="62"/>
      <c r="L90" s="62"/>
      <c r="M90" s="62"/>
      <c r="N90" s="62"/>
    </row>
    <row r="91" spans="1:14" x14ac:dyDescent="0.25">
      <c r="A91" s="4"/>
      <c r="B91" s="316"/>
      <c r="C91" s="5" t="s">
        <v>93</v>
      </c>
      <c r="D91" s="164">
        <f>SUM(D88:D90)/3</f>
        <v>14.436666666666667</v>
      </c>
      <c r="E91" s="164">
        <f>SUM(E88:E90)/3</f>
        <v>10.582683167428931</v>
      </c>
      <c r="F91" s="164">
        <f>SUM(F88:F90)/3</f>
        <v>14.709910312232518</v>
      </c>
      <c r="G91" s="413"/>
      <c r="H91" s="62"/>
      <c r="I91" s="62"/>
      <c r="J91" s="62"/>
      <c r="K91" s="62"/>
      <c r="L91" s="62"/>
      <c r="M91" s="62"/>
      <c r="N91" s="62"/>
    </row>
    <row r="92" spans="1:14" x14ac:dyDescent="0.2">
      <c r="A92" s="4"/>
      <c r="B92" s="316" t="s">
        <v>95</v>
      </c>
      <c r="C92" s="5" t="s">
        <v>511</v>
      </c>
      <c r="D92" s="91">
        <v>44.16</v>
      </c>
      <c r="E92" s="198">
        <f>48904880/233473692*100</f>
        <v>20.946634107280918</v>
      </c>
      <c r="F92" s="185">
        <f>73378508/303859118*100</f>
        <v>24.148858353495253</v>
      </c>
      <c r="G92" s="413"/>
      <c r="H92" s="62"/>
      <c r="I92" s="62"/>
      <c r="J92" s="62"/>
      <c r="K92" s="62"/>
      <c r="L92" s="62"/>
      <c r="M92" s="62"/>
      <c r="N92" s="62"/>
    </row>
    <row r="93" spans="1:14" x14ac:dyDescent="0.25">
      <c r="A93" s="4"/>
      <c r="B93" s="316"/>
      <c r="C93" s="5" t="s">
        <v>92</v>
      </c>
      <c r="D93" s="63"/>
      <c r="E93" s="64"/>
      <c r="F93" s="184"/>
      <c r="G93" s="413"/>
      <c r="H93" s="62"/>
      <c r="I93" s="62"/>
      <c r="J93" s="62"/>
      <c r="K93" s="62"/>
      <c r="L93" s="62"/>
      <c r="M93" s="62"/>
      <c r="N93" s="62"/>
    </row>
    <row r="94" spans="1:14" x14ac:dyDescent="0.25">
      <c r="A94" s="4"/>
      <c r="B94" s="316"/>
      <c r="C94" s="25" t="s">
        <v>512</v>
      </c>
      <c r="D94" s="63">
        <v>16.45</v>
      </c>
      <c r="E94" s="198">
        <f>1578.61/6350.89*100</f>
        <v>24.856516173323737</v>
      </c>
      <c r="F94" s="185">
        <f>1695.08/6911.21*100</f>
        <v>24.526530086627378</v>
      </c>
      <c r="G94" s="413"/>
      <c r="H94" s="62"/>
      <c r="I94" s="62"/>
      <c r="J94" s="62"/>
      <c r="K94" s="62"/>
      <c r="L94" s="62"/>
      <c r="M94" s="62"/>
      <c r="N94" s="62"/>
    </row>
    <row r="95" spans="1:14" x14ac:dyDescent="0.25">
      <c r="A95" s="4"/>
      <c r="B95" s="316"/>
      <c r="C95" s="25" t="s">
        <v>513</v>
      </c>
      <c r="D95" s="116">
        <v>10.66</v>
      </c>
      <c r="E95" s="199">
        <f>1289.94/20455.18*100</f>
        <v>6.3061777016872984</v>
      </c>
      <c r="F95" s="196">
        <f>512.26/20963.29*100</f>
        <v>2.4436049875759003</v>
      </c>
      <c r="G95" s="413"/>
      <c r="H95" s="62"/>
      <c r="I95" s="62"/>
      <c r="J95" s="62"/>
      <c r="K95" s="62"/>
      <c r="L95" s="62"/>
      <c r="M95" s="62"/>
      <c r="N95" s="62"/>
    </row>
    <row r="96" spans="1:14" ht="25.5" x14ac:dyDescent="0.25">
      <c r="A96" s="4"/>
      <c r="B96" s="316"/>
      <c r="C96" s="25" t="s">
        <v>810</v>
      </c>
      <c r="D96" s="63">
        <v>10.65</v>
      </c>
      <c r="E96" s="198">
        <f>8468.57/59413.04*100</f>
        <v>14.25372275177301</v>
      </c>
      <c r="F96" s="202">
        <f>15596.84/65115.22*100</f>
        <v>23.952679573224202</v>
      </c>
      <c r="G96" s="413"/>
      <c r="H96" s="62"/>
      <c r="I96" s="62"/>
      <c r="J96" s="62"/>
      <c r="K96" s="62"/>
      <c r="L96" s="62"/>
      <c r="M96" s="62"/>
      <c r="N96" s="62"/>
    </row>
    <row r="97" spans="1:14" x14ac:dyDescent="0.25">
      <c r="A97" s="4"/>
      <c r="B97" s="316"/>
      <c r="C97" s="5" t="s">
        <v>93</v>
      </c>
      <c r="D97" s="164">
        <f>SUM(D94:D96)/3</f>
        <v>12.586666666666666</v>
      </c>
      <c r="E97" s="164">
        <f>SUM(E94:E96)/3</f>
        <v>15.13880554226135</v>
      </c>
      <c r="F97" s="164">
        <f>SUM(F94:F96)/3</f>
        <v>16.974271549142493</v>
      </c>
      <c r="G97" s="413"/>
      <c r="H97" s="62"/>
      <c r="I97" s="62"/>
      <c r="J97" s="62"/>
      <c r="K97" s="66"/>
      <c r="L97" s="62"/>
      <c r="M97" s="62"/>
      <c r="N97" s="62"/>
    </row>
    <row r="98" spans="1:14" x14ac:dyDescent="0.2">
      <c r="A98" s="4"/>
      <c r="B98" s="316" t="s">
        <v>96</v>
      </c>
      <c r="C98" s="5" t="s">
        <v>511</v>
      </c>
      <c r="D98" s="91">
        <v>15.885</v>
      </c>
      <c r="E98" s="64">
        <f>233473692/7404000</f>
        <v>31.533453808752025</v>
      </c>
      <c r="F98" s="185">
        <f>303859118/7404000</f>
        <v>41.039859265262024</v>
      </c>
      <c r="G98" s="413"/>
      <c r="H98" s="62"/>
      <c r="I98" s="62"/>
      <c r="J98" s="62"/>
      <c r="K98" s="62"/>
      <c r="L98" s="62"/>
      <c r="M98" s="62"/>
      <c r="N98" s="62"/>
    </row>
    <row r="99" spans="1:14" x14ac:dyDescent="0.25">
      <c r="A99" s="4"/>
      <c r="B99" s="316"/>
      <c r="C99" s="5" t="s">
        <v>92</v>
      </c>
      <c r="D99" s="63"/>
      <c r="E99" s="61"/>
      <c r="F99" s="184"/>
      <c r="G99" s="413"/>
      <c r="H99" s="62"/>
      <c r="I99" s="62"/>
      <c r="J99" s="62"/>
      <c r="K99" s="62"/>
      <c r="L99" s="62"/>
      <c r="M99" s="62"/>
      <c r="N99" s="62"/>
    </row>
    <row r="100" spans="1:14" x14ac:dyDescent="0.25">
      <c r="A100" s="4"/>
      <c r="B100" s="386"/>
      <c r="C100" s="25" t="s">
        <v>512</v>
      </c>
      <c r="D100" s="63">
        <v>7.65</v>
      </c>
      <c r="E100" s="64">
        <f>6350.89/501.04</f>
        <v>12.675415136516047</v>
      </c>
      <c r="F100" s="185">
        <f>6911.21*100000/5010400</f>
        <v>137.93729043589335</v>
      </c>
      <c r="G100" s="413"/>
      <c r="H100" s="62"/>
      <c r="I100" s="62"/>
      <c r="J100" s="62"/>
      <c r="K100" s="62"/>
      <c r="L100" s="62"/>
      <c r="M100" s="62"/>
      <c r="N100" s="62"/>
    </row>
    <row r="101" spans="1:14" x14ac:dyDescent="0.25">
      <c r="A101" s="4"/>
      <c r="B101" s="386"/>
      <c r="C101" s="25" t="s">
        <v>513</v>
      </c>
      <c r="D101" s="63">
        <v>14.54</v>
      </c>
      <c r="E101" s="199">
        <f>20455.18*100000/26379000</f>
        <v>77.543424693885285</v>
      </c>
      <c r="F101" s="196">
        <f>20963.29*100000/26379000</f>
        <v>79.469615982410247</v>
      </c>
      <c r="G101" s="413"/>
      <c r="H101" s="62"/>
      <c r="I101" s="62"/>
      <c r="J101" s="62"/>
      <c r="K101" s="62"/>
      <c r="L101" s="62"/>
      <c r="M101" s="62"/>
      <c r="N101" s="62"/>
    </row>
    <row r="102" spans="1:14" ht="25.5" x14ac:dyDescent="0.25">
      <c r="A102" s="4"/>
      <c r="B102" s="386"/>
      <c r="C102" s="25" t="s">
        <v>810</v>
      </c>
      <c r="D102" s="63">
        <v>5.63</v>
      </c>
      <c r="E102" s="64">
        <f>59413.4/736.1</f>
        <v>80.713761717157993</v>
      </c>
      <c r="F102" s="202">
        <f>65115.22*100000/73610000</f>
        <v>88.459747316940636</v>
      </c>
      <c r="G102" s="413"/>
      <c r="H102" s="62"/>
      <c r="I102" s="62"/>
      <c r="J102" s="62"/>
      <c r="K102" s="62"/>
      <c r="L102" s="62"/>
      <c r="M102" s="62"/>
      <c r="N102" s="62"/>
    </row>
    <row r="103" spans="1:14" x14ac:dyDescent="0.25">
      <c r="A103" s="4"/>
      <c r="B103" s="386"/>
      <c r="C103" s="5" t="s">
        <v>93</v>
      </c>
      <c r="D103" s="164">
        <f>SUM(D100:D102)/3</f>
        <v>9.2733333333333317</v>
      </c>
      <c r="E103" s="164">
        <f>SUM(E100:E102)/3</f>
        <v>56.977533849186443</v>
      </c>
      <c r="F103" s="164">
        <f>SUM(F100:F102)/3</f>
        <v>101.95555124508142</v>
      </c>
      <c r="G103" s="413"/>
      <c r="H103" s="62"/>
      <c r="I103" s="62"/>
      <c r="J103" s="62"/>
      <c r="K103" s="62"/>
      <c r="L103" s="62"/>
      <c r="M103" s="62"/>
      <c r="N103" s="62"/>
    </row>
    <row r="104" spans="1:14" s="57" customFormat="1" x14ac:dyDescent="0.25">
      <c r="B104" s="387"/>
      <c r="C104" s="388"/>
      <c r="D104" s="388"/>
      <c r="E104" s="388"/>
      <c r="F104" s="388"/>
      <c r="G104" s="389"/>
    </row>
    <row r="105" spans="1:14" x14ac:dyDescent="0.25">
      <c r="A105" s="4"/>
      <c r="B105" s="376" t="s">
        <v>514</v>
      </c>
      <c r="C105" s="377"/>
      <c r="D105" s="377"/>
      <c r="E105" s="377"/>
      <c r="F105" s="377"/>
      <c r="G105" s="378"/>
      <c r="H105" s="62"/>
      <c r="I105" s="62"/>
      <c r="J105" s="62"/>
      <c r="K105" s="62"/>
      <c r="L105" s="62"/>
      <c r="M105" s="62"/>
      <c r="N105" s="62"/>
    </row>
    <row r="106" spans="1:14" x14ac:dyDescent="0.25">
      <c r="A106" s="4"/>
      <c r="B106" s="379" t="s">
        <v>128</v>
      </c>
      <c r="C106" s="380"/>
      <c r="D106" s="380"/>
      <c r="E106" s="380"/>
      <c r="F106" s="380"/>
      <c r="G106" s="381"/>
      <c r="H106" s="62"/>
      <c r="I106" s="62"/>
      <c r="J106" s="62"/>
      <c r="K106" s="62"/>
      <c r="L106" s="62"/>
      <c r="M106" s="62"/>
      <c r="N106" s="62"/>
    </row>
    <row r="107" spans="1:14" x14ac:dyDescent="0.25">
      <c r="A107" s="4"/>
      <c r="B107" s="353"/>
      <c r="C107" s="354"/>
      <c r="D107" s="354"/>
      <c r="E107" s="354"/>
      <c r="F107" s="354"/>
      <c r="G107" s="355"/>
      <c r="H107" s="62"/>
      <c r="I107" s="62"/>
      <c r="J107" s="62"/>
      <c r="K107" s="62"/>
      <c r="L107" s="62"/>
      <c r="M107" s="62"/>
      <c r="N107" s="62"/>
    </row>
    <row r="108" spans="1:14" x14ac:dyDescent="0.25">
      <c r="A108" s="26"/>
      <c r="B108" s="12"/>
      <c r="C108" s="323"/>
      <c r="D108" s="323"/>
      <c r="E108" s="323"/>
      <c r="F108" s="323"/>
      <c r="G108" s="323"/>
      <c r="H108" s="62"/>
      <c r="I108" s="62"/>
      <c r="J108" s="26"/>
      <c r="K108" s="26"/>
      <c r="L108" s="26"/>
      <c r="M108" s="26"/>
      <c r="N108" s="26"/>
    </row>
    <row r="109" spans="1:14" x14ac:dyDescent="0.25">
      <c r="A109" s="13">
        <v>14</v>
      </c>
      <c r="B109" s="70" t="s">
        <v>99</v>
      </c>
      <c r="C109" s="324" t="s">
        <v>48</v>
      </c>
      <c r="D109" s="325"/>
      <c r="E109" s="325"/>
      <c r="F109" s="325"/>
      <c r="G109" s="326"/>
      <c r="H109" s="26"/>
      <c r="I109" s="26"/>
      <c r="J109" s="26"/>
      <c r="K109" s="26"/>
      <c r="L109" s="26"/>
      <c r="M109" s="26"/>
      <c r="N109" s="26"/>
    </row>
    <row r="110" spans="1:14" x14ac:dyDescent="0.25">
      <c r="A110" s="71"/>
      <c r="B110" s="26"/>
      <c r="C110" s="84"/>
      <c r="D110" s="84"/>
      <c r="E110" s="84"/>
      <c r="F110" s="84"/>
      <c r="G110" s="84"/>
      <c r="H110" s="26"/>
      <c r="I110" s="26"/>
      <c r="J110" s="26"/>
      <c r="K110" s="26"/>
      <c r="L110" s="26"/>
      <c r="M110" s="26"/>
      <c r="N110" s="26"/>
    </row>
    <row r="111" spans="1:14" x14ac:dyDescent="0.25">
      <c r="A111" s="26"/>
      <c r="B111" s="374" t="s">
        <v>515</v>
      </c>
      <c r="C111" s="375"/>
      <c r="D111" s="375"/>
      <c r="E111" s="375"/>
      <c r="F111" s="375"/>
      <c r="G111" s="375"/>
      <c r="H111" s="375"/>
      <c r="I111" s="26"/>
      <c r="J111" s="26"/>
      <c r="K111" s="26"/>
      <c r="L111" s="26"/>
      <c r="M111" s="26"/>
      <c r="N111" s="26"/>
    </row>
    <row r="112" spans="1:14" x14ac:dyDescent="0.25">
      <c r="A112" s="26"/>
      <c r="I112" s="26"/>
      <c r="J112" s="26"/>
      <c r="K112" s="26"/>
      <c r="L112" s="26"/>
      <c r="M112" s="26"/>
      <c r="N112" s="26"/>
    </row>
    <row r="113" spans="1:14" x14ac:dyDescent="0.25">
      <c r="A113" s="26"/>
      <c r="J113" s="26"/>
      <c r="K113" s="26"/>
      <c r="L113" s="26"/>
      <c r="M113" s="26"/>
      <c r="N113" s="26"/>
    </row>
  </sheetData>
  <sheetProtection password="E9DF"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5"/>
    <mergeCell ref="G80:G103"/>
    <mergeCell ref="B86:B91"/>
    <mergeCell ref="B92:B97"/>
    <mergeCell ref="B98:B103"/>
    <mergeCell ref="B111:H111"/>
    <mergeCell ref="B104:G104"/>
    <mergeCell ref="B105:G105"/>
    <mergeCell ref="B106:G106"/>
    <mergeCell ref="B107:G107"/>
    <mergeCell ref="C108:G108"/>
    <mergeCell ref="C109:G109"/>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topLeftCell="A49" workbookViewId="0">
      <selection activeCell="B51" sqref="B51"/>
    </sheetView>
  </sheetViews>
  <sheetFormatPr defaultColWidth="8.85546875" defaultRowHeight="12.75" x14ac:dyDescent="0.25"/>
  <cols>
    <col min="1" max="1" width="8.85546875" style="73"/>
    <col min="2" max="3" width="40.85546875" style="73" customWidth="1"/>
    <col min="4" max="4" width="24"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516</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517</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518</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474</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7.75" customHeight="1" x14ac:dyDescent="0.25">
      <c r="A26" s="13">
        <v>6</v>
      </c>
      <c r="B26" s="333" t="s">
        <v>22</v>
      </c>
      <c r="C26" s="333"/>
      <c r="D26" s="333"/>
      <c r="E26" s="333"/>
      <c r="F26" s="15"/>
      <c r="G26" s="15"/>
      <c r="H26" s="17"/>
      <c r="I26" s="15"/>
      <c r="J26" s="15"/>
      <c r="K26" s="26"/>
      <c r="L26" s="26"/>
      <c r="M26" s="26"/>
      <c r="N26" s="26"/>
    </row>
    <row r="27" spans="1:14" x14ac:dyDescent="0.25">
      <c r="A27" s="13"/>
      <c r="B27" s="21" t="s">
        <v>24</v>
      </c>
      <c r="C27" s="22" t="s">
        <v>264</v>
      </c>
      <c r="D27" s="22" t="s">
        <v>26</v>
      </c>
      <c r="E27" s="200" t="s">
        <v>355</v>
      </c>
      <c r="F27" s="19"/>
      <c r="G27" s="26"/>
      <c r="H27" s="26"/>
      <c r="I27" s="26"/>
      <c r="J27" s="26"/>
      <c r="K27" s="26"/>
      <c r="L27" s="26"/>
      <c r="M27" s="26"/>
      <c r="N27" s="26"/>
    </row>
    <row r="28" spans="1:14" x14ac:dyDescent="0.25">
      <c r="A28" s="13"/>
      <c r="B28" s="23" t="s">
        <v>28</v>
      </c>
      <c r="C28" s="24">
        <v>1771.23</v>
      </c>
      <c r="D28" s="201">
        <v>4506.54</v>
      </c>
      <c r="E28" s="420" t="s">
        <v>265</v>
      </c>
      <c r="F28" s="19"/>
      <c r="G28" s="26"/>
      <c r="H28" s="26"/>
      <c r="I28" s="26"/>
      <c r="J28" s="26"/>
      <c r="K28" s="26"/>
      <c r="L28" s="26"/>
      <c r="M28" s="26"/>
      <c r="N28" s="26"/>
    </row>
    <row r="29" spans="1:14" x14ac:dyDescent="0.25">
      <c r="A29" s="13"/>
      <c r="B29" s="23" t="s">
        <v>29</v>
      </c>
      <c r="C29" s="24">
        <v>106.24</v>
      </c>
      <c r="D29" s="201">
        <v>561.70000000000005</v>
      </c>
      <c r="E29" s="421"/>
      <c r="F29" s="19"/>
      <c r="G29" s="26"/>
      <c r="H29" s="26"/>
      <c r="I29" s="26"/>
      <c r="J29" s="26"/>
      <c r="K29" s="26"/>
      <c r="L29" s="26"/>
      <c r="M29" s="26"/>
      <c r="N29" s="26"/>
    </row>
    <row r="30" spans="1:14" x14ac:dyDescent="0.25">
      <c r="A30" s="13"/>
      <c r="B30" s="23" t="s">
        <v>30</v>
      </c>
      <c r="C30" s="24">
        <v>338.7</v>
      </c>
      <c r="D30" s="201">
        <v>338.7</v>
      </c>
      <c r="E30" s="421"/>
      <c r="F30" s="19"/>
      <c r="G30" s="26"/>
      <c r="H30" s="26"/>
      <c r="I30" s="26"/>
      <c r="J30" s="26"/>
      <c r="K30" s="26"/>
      <c r="L30" s="26"/>
      <c r="M30" s="26"/>
      <c r="N30" s="26"/>
    </row>
    <row r="31" spans="1:14" x14ac:dyDescent="0.25">
      <c r="A31" s="13"/>
      <c r="B31" s="23" t="s">
        <v>31</v>
      </c>
      <c r="C31" s="24">
        <v>616.03</v>
      </c>
      <c r="D31" s="201">
        <v>1176.03</v>
      </c>
      <c r="E31" s="422"/>
      <c r="F31" s="19"/>
      <c r="G31" s="26"/>
      <c r="H31" s="26"/>
      <c r="I31" s="26"/>
      <c r="J31" s="26"/>
      <c r="K31" s="26"/>
      <c r="L31" s="26"/>
      <c r="M31" s="26"/>
      <c r="N31" s="26"/>
    </row>
    <row r="32" spans="1:14" x14ac:dyDescent="0.25">
      <c r="A32" s="13"/>
      <c r="B32" s="353" t="s">
        <v>290</v>
      </c>
      <c r="C32" s="354"/>
      <c r="D32" s="354"/>
      <c r="E32" s="355"/>
      <c r="F32" s="19"/>
      <c r="G32" s="26"/>
      <c r="H32" s="26"/>
      <c r="I32" s="26"/>
      <c r="J32" s="26"/>
      <c r="K32" s="26"/>
      <c r="L32" s="26"/>
      <c r="M32" s="26"/>
      <c r="N32" s="26"/>
    </row>
    <row r="33" spans="1:14" x14ac:dyDescent="0.25">
      <c r="A33" s="13"/>
      <c r="B33" s="17"/>
      <c r="C33" s="19"/>
      <c r="D33" s="19"/>
      <c r="E33" s="19"/>
      <c r="F33" s="19"/>
      <c r="G33" s="26"/>
      <c r="H33" s="26"/>
      <c r="I33" s="26"/>
      <c r="J33" s="26"/>
      <c r="K33" s="26"/>
      <c r="L33" s="26"/>
      <c r="M33" s="26"/>
      <c r="N33" s="26"/>
    </row>
    <row r="34" spans="1:14" ht="30" customHeight="1" x14ac:dyDescent="0.25">
      <c r="A34" s="13">
        <v>7</v>
      </c>
      <c r="B34" s="333" t="s">
        <v>33</v>
      </c>
      <c r="C34" s="333"/>
      <c r="D34" s="333"/>
      <c r="E34" s="333"/>
      <c r="F34" s="15"/>
      <c r="G34" s="15"/>
      <c r="H34" s="15"/>
      <c r="I34" s="15"/>
      <c r="J34" s="15"/>
      <c r="K34" s="26"/>
      <c r="L34" s="26"/>
      <c r="M34" s="26"/>
      <c r="N34" s="26"/>
    </row>
    <row r="35" spans="1:14" x14ac:dyDescent="0.25">
      <c r="A35" s="13"/>
      <c r="B35" s="21" t="s">
        <v>34</v>
      </c>
      <c r="C35" s="24" t="s">
        <v>35</v>
      </c>
      <c r="D35" s="17"/>
      <c r="E35" s="17"/>
      <c r="F35" s="17"/>
      <c r="G35" s="26"/>
      <c r="H35" s="26"/>
      <c r="I35" s="26"/>
      <c r="J35" s="26"/>
      <c r="K35" s="26"/>
      <c r="L35" s="26"/>
      <c r="M35" s="26"/>
      <c r="N35" s="26"/>
    </row>
    <row r="36" spans="1:14" x14ac:dyDescent="0.25">
      <c r="A36" s="13"/>
      <c r="B36" s="21" t="s">
        <v>36</v>
      </c>
      <c r="C36" s="201" t="s">
        <v>35</v>
      </c>
      <c r="D36" s="17"/>
      <c r="E36" s="17"/>
      <c r="F36" s="17"/>
      <c r="G36" s="26"/>
      <c r="H36" s="26"/>
      <c r="I36" s="26"/>
      <c r="J36" s="26"/>
      <c r="K36" s="26"/>
      <c r="L36" s="26"/>
      <c r="M36" s="26"/>
      <c r="N36" s="26"/>
    </row>
    <row r="37" spans="1:14" x14ac:dyDescent="0.25">
      <c r="A37" s="13"/>
      <c r="B37" s="27" t="s">
        <v>37</v>
      </c>
      <c r="C37" s="105" t="s">
        <v>263</v>
      </c>
      <c r="D37" s="17"/>
      <c r="E37" s="17"/>
      <c r="F37" s="17"/>
      <c r="G37" s="26"/>
      <c r="H37" s="26"/>
      <c r="I37" s="26"/>
      <c r="J37" s="26"/>
      <c r="K37" s="26"/>
      <c r="L37" s="26"/>
      <c r="M37" s="26"/>
      <c r="N37" s="26"/>
    </row>
    <row r="38" spans="1:14" x14ac:dyDescent="0.25">
      <c r="A38" s="13"/>
      <c r="B38" s="382" t="s">
        <v>156</v>
      </c>
      <c r="C38" s="382"/>
      <c r="D38" s="17"/>
      <c r="E38" s="17"/>
      <c r="F38" s="17"/>
      <c r="G38" s="26"/>
      <c r="H38" s="26"/>
      <c r="I38" s="26"/>
      <c r="J38" s="26"/>
      <c r="K38" s="26"/>
      <c r="L38" s="26"/>
      <c r="M38" s="26"/>
      <c r="N38" s="26"/>
    </row>
    <row r="39" spans="1:14" x14ac:dyDescent="0.25">
      <c r="A39" s="13"/>
      <c r="B39" s="74"/>
      <c r="C39" s="17"/>
      <c r="D39" s="17"/>
      <c r="E39" s="17"/>
      <c r="F39" s="17"/>
      <c r="G39" s="26"/>
      <c r="H39" s="26"/>
      <c r="I39" s="26"/>
      <c r="J39" s="26"/>
      <c r="K39" s="26"/>
      <c r="L39" s="26"/>
      <c r="M39" s="26"/>
      <c r="N39" s="26"/>
    </row>
    <row r="40" spans="1:14" x14ac:dyDescent="0.25">
      <c r="A40" s="13"/>
      <c r="B40" s="19"/>
      <c r="C40" s="17"/>
      <c r="D40" s="17"/>
      <c r="E40" s="17"/>
      <c r="F40" s="17"/>
      <c r="G40" s="26"/>
      <c r="H40" s="26"/>
      <c r="I40" s="26"/>
      <c r="J40" s="26"/>
      <c r="K40" s="26"/>
      <c r="L40" s="26"/>
      <c r="M40" s="26"/>
      <c r="N40" s="26"/>
    </row>
    <row r="41" spans="1:14" x14ac:dyDescent="0.25">
      <c r="A41" s="13">
        <v>8</v>
      </c>
      <c r="B41" s="333" t="s">
        <v>38</v>
      </c>
      <c r="C41" s="333"/>
      <c r="D41" s="333"/>
      <c r="E41" s="333"/>
      <c r="F41" s="15"/>
      <c r="G41" s="15"/>
      <c r="H41" s="15"/>
      <c r="I41" s="15"/>
      <c r="J41" s="15"/>
      <c r="K41" s="26"/>
      <c r="L41" s="26"/>
      <c r="M41" s="26"/>
      <c r="N41" s="26"/>
    </row>
    <row r="42" spans="1:14" x14ac:dyDescent="0.25">
      <c r="A42" s="13"/>
      <c r="B42" s="21" t="s">
        <v>39</v>
      </c>
      <c r="C42" s="350" t="s">
        <v>16</v>
      </c>
      <c r="D42" s="351"/>
      <c r="E42" s="352"/>
      <c r="F42" s="17"/>
      <c r="G42" s="26"/>
      <c r="H42" s="26"/>
      <c r="I42" s="26"/>
      <c r="J42" s="26"/>
      <c r="K42" s="26"/>
      <c r="L42" s="26"/>
      <c r="M42" s="26"/>
      <c r="N42" s="26"/>
    </row>
    <row r="43" spans="1:14" x14ac:dyDescent="0.25">
      <c r="A43" s="13"/>
      <c r="B43" s="21" t="s">
        <v>36</v>
      </c>
      <c r="C43" s="350" t="s">
        <v>16</v>
      </c>
      <c r="D43" s="351"/>
      <c r="E43" s="352"/>
      <c r="F43" s="17"/>
      <c r="G43" s="26"/>
      <c r="H43" s="26"/>
      <c r="I43" s="26"/>
      <c r="J43" s="26"/>
      <c r="K43" s="26"/>
      <c r="L43" s="26"/>
      <c r="M43" s="26"/>
      <c r="N43" s="26"/>
    </row>
    <row r="44" spans="1:14" x14ac:dyDescent="0.25">
      <c r="A44" s="13"/>
      <c r="B44" s="21" t="s">
        <v>37</v>
      </c>
      <c r="C44" s="367" t="s">
        <v>263</v>
      </c>
      <c r="D44" s="367"/>
      <c r="E44" s="367"/>
      <c r="F44" s="17"/>
      <c r="G44" s="26"/>
      <c r="H44" s="26"/>
      <c r="I44" s="26"/>
      <c r="J44" s="26"/>
      <c r="K44" s="26"/>
      <c r="L44" s="26"/>
      <c r="M44" s="26"/>
      <c r="N44" s="26"/>
    </row>
    <row r="45" spans="1:14" x14ac:dyDescent="0.25">
      <c r="A45" s="13"/>
      <c r="B45" s="353" t="s">
        <v>40</v>
      </c>
      <c r="C45" s="354"/>
      <c r="D45" s="354"/>
      <c r="E45" s="355"/>
      <c r="F45" s="17"/>
      <c r="G45" s="26"/>
      <c r="H45" s="26"/>
      <c r="I45" s="26"/>
      <c r="J45" s="26"/>
      <c r="K45" s="26"/>
      <c r="L45" s="26"/>
      <c r="M45" s="26"/>
      <c r="N45" s="26"/>
    </row>
    <row r="46" spans="1:14" x14ac:dyDescent="0.25">
      <c r="A46" s="4"/>
      <c r="B46" s="12"/>
      <c r="C46" s="12"/>
      <c r="D46" s="28"/>
      <c r="E46" s="17"/>
      <c r="F46" s="26"/>
      <c r="G46" s="26"/>
      <c r="H46" s="26"/>
      <c r="I46" s="26"/>
      <c r="J46" s="26"/>
      <c r="K46" s="26"/>
      <c r="L46" s="26"/>
      <c r="M46" s="26"/>
      <c r="N46" s="26"/>
    </row>
    <row r="47" spans="1:14" x14ac:dyDescent="0.25">
      <c r="A47" s="29">
        <v>9</v>
      </c>
      <c r="B47" s="340" t="s">
        <v>41</v>
      </c>
      <c r="C47" s="333"/>
      <c r="D47" s="333"/>
      <c r="E47" s="333"/>
      <c r="F47" s="30"/>
      <c r="G47" s="15"/>
      <c r="H47" s="15"/>
      <c r="I47" s="15"/>
      <c r="J47" s="26"/>
      <c r="K47" s="26"/>
      <c r="L47" s="26"/>
      <c r="M47" s="26"/>
    </row>
    <row r="48" spans="1:14" ht="25.5" x14ac:dyDescent="0.25">
      <c r="A48" s="29"/>
      <c r="B48" s="31" t="s">
        <v>42</v>
      </c>
      <c r="C48" s="32" t="s">
        <v>43</v>
      </c>
      <c r="D48" s="33" t="s">
        <v>44</v>
      </c>
      <c r="E48" s="32" t="s">
        <v>268</v>
      </c>
      <c r="F48" s="26"/>
      <c r="G48" s="26"/>
      <c r="H48" s="26"/>
      <c r="I48" s="26"/>
      <c r="J48" s="26"/>
      <c r="K48" s="26"/>
      <c r="L48" s="26"/>
      <c r="M48" s="26"/>
    </row>
    <row r="49" spans="1:14" ht="76.5" x14ac:dyDescent="0.25">
      <c r="A49" s="34"/>
      <c r="B49" s="94" t="s">
        <v>369</v>
      </c>
      <c r="C49" s="94" t="s">
        <v>519</v>
      </c>
      <c r="D49" s="133" t="s">
        <v>737</v>
      </c>
      <c r="E49" s="94" t="s">
        <v>736</v>
      </c>
      <c r="F49" s="26"/>
      <c r="G49" s="26"/>
      <c r="H49" s="26"/>
      <c r="I49" s="26"/>
      <c r="J49" s="26"/>
      <c r="K49" s="26"/>
      <c r="L49" s="26"/>
      <c r="M49" s="26"/>
    </row>
    <row r="50" spans="1:14" x14ac:dyDescent="0.25">
      <c r="A50" s="36"/>
      <c r="B50" s="345" t="s">
        <v>739</v>
      </c>
      <c r="C50" s="346"/>
      <c r="D50" s="346"/>
      <c r="E50" s="347"/>
      <c r="F50" s="19"/>
      <c r="G50" s="19"/>
      <c r="H50" s="19"/>
      <c r="I50" s="26"/>
      <c r="J50" s="26"/>
      <c r="K50" s="26"/>
      <c r="L50" s="26"/>
      <c r="M50" s="26"/>
    </row>
    <row r="51" spans="1:14" x14ac:dyDescent="0.25">
      <c r="A51" s="37"/>
      <c r="B51" s="75"/>
      <c r="C51" s="28"/>
      <c r="D51" s="28"/>
      <c r="E51" s="28"/>
      <c r="F51" s="19"/>
      <c r="G51" s="19"/>
      <c r="H51" s="19"/>
      <c r="I51" s="19"/>
      <c r="J51" s="26"/>
      <c r="K51" s="26"/>
      <c r="L51" s="26"/>
      <c r="M51" s="26"/>
      <c r="N51" s="26"/>
    </row>
    <row r="52" spans="1:14" x14ac:dyDescent="0.25">
      <c r="A52" s="29">
        <v>10</v>
      </c>
      <c r="B52" s="340" t="s">
        <v>41</v>
      </c>
      <c r="C52" s="333"/>
      <c r="D52" s="333"/>
      <c r="E52" s="333"/>
      <c r="F52" s="19"/>
      <c r="G52" s="19"/>
      <c r="H52" s="19"/>
      <c r="I52" s="26"/>
      <c r="J52" s="26"/>
      <c r="K52" s="26"/>
      <c r="L52" s="26"/>
      <c r="M52" s="26"/>
    </row>
    <row r="53" spans="1:14" x14ac:dyDescent="0.25">
      <c r="A53" s="34"/>
      <c r="B53" s="357" t="s">
        <v>50</v>
      </c>
      <c r="C53" s="394" t="s">
        <v>738</v>
      </c>
      <c r="D53" s="395"/>
      <c r="E53" s="396"/>
      <c r="F53" s="26"/>
      <c r="G53" s="26"/>
      <c r="H53" s="26"/>
      <c r="I53" s="26"/>
      <c r="J53" s="26"/>
      <c r="K53" s="2"/>
      <c r="L53" s="26"/>
      <c r="M53" s="26"/>
    </row>
    <row r="54" spans="1:14" ht="32.25" customHeight="1" x14ac:dyDescent="0.25">
      <c r="A54" s="34"/>
      <c r="B54" s="358"/>
      <c r="C54" s="397"/>
      <c r="D54" s="398"/>
      <c r="E54" s="399"/>
      <c r="F54" s="26"/>
      <c r="G54" s="26"/>
      <c r="H54" s="26"/>
      <c r="I54" s="26"/>
      <c r="J54" s="26"/>
      <c r="K54" s="2"/>
      <c r="L54" s="26"/>
      <c r="M54" s="26"/>
    </row>
    <row r="55" spans="1:14" ht="45.75" customHeight="1" x14ac:dyDescent="0.25">
      <c r="A55" s="29"/>
      <c r="B55" s="39" t="s">
        <v>54</v>
      </c>
      <c r="C55" s="344" t="s">
        <v>738</v>
      </c>
      <c r="D55" s="344"/>
      <c r="E55" s="344"/>
      <c r="F55" s="26"/>
      <c r="G55" s="26"/>
      <c r="H55" s="26"/>
      <c r="I55" s="26"/>
      <c r="J55" s="26"/>
      <c r="K55" s="12"/>
      <c r="L55" s="26"/>
      <c r="M55" s="26"/>
    </row>
    <row r="56" spans="1:14" x14ac:dyDescent="0.25">
      <c r="A56" s="34"/>
      <c r="B56" s="39" t="s">
        <v>55</v>
      </c>
      <c r="C56" s="344" t="s">
        <v>56</v>
      </c>
      <c r="D56" s="344"/>
      <c r="E56" s="344"/>
      <c r="F56" s="26"/>
      <c r="G56" s="26"/>
      <c r="H56" s="26"/>
      <c r="I56" s="26"/>
      <c r="J56" s="26"/>
      <c r="K56" s="40"/>
      <c r="L56" s="26"/>
      <c r="M56" s="26"/>
    </row>
    <row r="57" spans="1:14" x14ac:dyDescent="0.25">
      <c r="A57" s="34"/>
      <c r="B57" s="345" t="s">
        <v>739</v>
      </c>
      <c r="C57" s="346"/>
      <c r="D57" s="346"/>
      <c r="E57" s="347"/>
      <c r="F57" s="26"/>
      <c r="G57" s="26"/>
      <c r="H57" s="26"/>
      <c r="I57" s="26"/>
      <c r="J57" s="26"/>
      <c r="K57" s="40"/>
      <c r="L57" s="26"/>
      <c r="M57" s="26"/>
    </row>
    <row r="58" spans="1:14" s="76" customFormat="1" x14ac:dyDescent="0.2">
      <c r="A58" s="41" t="s">
        <v>57</v>
      </c>
      <c r="B58" s="384" t="s">
        <v>58</v>
      </c>
      <c r="C58" s="384"/>
      <c r="D58" s="384"/>
      <c r="E58" s="384"/>
    </row>
    <row r="59" spans="1:14" x14ac:dyDescent="0.25">
      <c r="A59" s="48"/>
      <c r="B59" s="49"/>
      <c r="C59" s="50"/>
      <c r="D59" s="50"/>
      <c r="E59" s="50"/>
      <c r="F59" s="50"/>
      <c r="G59" s="12"/>
      <c r="H59" s="12"/>
      <c r="I59" s="12"/>
      <c r="J59" s="12"/>
      <c r="K59" s="12"/>
      <c r="L59" s="12"/>
      <c r="M59" s="26"/>
      <c r="N59" s="26"/>
    </row>
    <row r="60" spans="1:14" x14ac:dyDescent="0.25">
      <c r="A60" s="13">
        <v>11</v>
      </c>
      <c r="B60" s="5" t="s">
        <v>59</v>
      </c>
      <c r="C60" s="349" t="s">
        <v>60</v>
      </c>
      <c r="D60" s="349"/>
      <c r="E60" s="349"/>
      <c r="F60" s="15"/>
      <c r="G60" s="15"/>
      <c r="H60" s="51"/>
      <c r="I60" s="15"/>
      <c r="J60" s="15"/>
      <c r="K60" s="26"/>
      <c r="L60" s="12"/>
      <c r="M60" s="26"/>
      <c r="N60" s="26"/>
    </row>
    <row r="61" spans="1:14" x14ac:dyDescent="0.25">
      <c r="A61" s="13"/>
      <c r="B61" s="19"/>
      <c r="C61" s="19"/>
      <c r="D61" s="19"/>
      <c r="E61" s="19"/>
      <c r="F61" s="19"/>
      <c r="G61" s="19"/>
      <c r="H61" s="52"/>
      <c r="I61" s="52"/>
      <c r="J61" s="19"/>
      <c r="K61" s="26"/>
      <c r="L61" s="26"/>
      <c r="M61" s="26"/>
      <c r="N61" s="26"/>
    </row>
    <row r="62" spans="1:14" x14ac:dyDescent="0.25">
      <c r="A62" s="13">
        <v>12</v>
      </c>
      <c r="B62" s="15" t="s">
        <v>61</v>
      </c>
      <c r="C62" s="15"/>
      <c r="D62" s="15"/>
      <c r="E62" s="15"/>
      <c r="F62" s="15"/>
      <c r="G62" s="15"/>
      <c r="H62" s="15"/>
      <c r="I62" s="15"/>
      <c r="J62" s="15"/>
      <c r="K62" s="15"/>
      <c r="L62" s="15"/>
      <c r="M62" s="15"/>
      <c r="N62" s="15"/>
    </row>
    <row r="63" spans="1:14" x14ac:dyDescent="0.25">
      <c r="A63" s="13"/>
      <c r="B63" s="15"/>
      <c r="C63" s="15"/>
      <c r="D63" s="15"/>
      <c r="E63" s="15"/>
      <c r="F63" s="51"/>
      <c r="G63" s="51"/>
      <c r="H63" s="15"/>
      <c r="I63" s="15"/>
      <c r="J63" s="15"/>
      <c r="K63" s="15"/>
      <c r="L63" s="15"/>
      <c r="M63" s="15"/>
      <c r="N63" s="15"/>
    </row>
    <row r="64" spans="1:14" x14ac:dyDescent="0.25">
      <c r="A64" s="13"/>
      <c r="B64" s="21" t="s">
        <v>62</v>
      </c>
      <c r="C64" s="23" t="s">
        <v>360</v>
      </c>
      <c r="D64" s="19"/>
      <c r="E64" s="19"/>
      <c r="F64" s="52"/>
      <c r="G64" s="52"/>
      <c r="H64" s="19"/>
      <c r="I64" s="19"/>
      <c r="J64" s="19"/>
      <c r="K64" s="19"/>
      <c r="L64" s="19"/>
      <c r="M64" s="19"/>
      <c r="N64" s="19"/>
    </row>
    <row r="65" spans="1:14" x14ac:dyDescent="0.25">
      <c r="A65" s="13"/>
      <c r="B65" s="19"/>
      <c r="C65" s="19"/>
      <c r="D65" s="19"/>
      <c r="E65" s="19"/>
      <c r="F65" s="19"/>
      <c r="G65" s="19"/>
      <c r="H65" s="19"/>
      <c r="I65" s="19"/>
      <c r="J65" s="19"/>
      <c r="K65" s="19"/>
      <c r="L65" s="19"/>
      <c r="M65" s="19"/>
      <c r="N65" s="19"/>
    </row>
    <row r="66" spans="1:14" x14ac:dyDescent="0.25">
      <c r="A66" s="13"/>
      <c r="B66" s="333" t="s">
        <v>64</v>
      </c>
      <c r="C66" s="372" t="s">
        <v>520</v>
      </c>
      <c r="D66" s="372" t="s">
        <v>333</v>
      </c>
      <c r="E66" s="336" t="s">
        <v>294</v>
      </c>
      <c r="F66" s="327" t="s">
        <v>68</v>
      </c>
      <c r="G66" s="328"/>
      <c r="H66" s="329"/>
      <c r="I66" s="330" t="s">
        <v>69</v>
      </c>
      <c r="J66" s="330"/>
      <c r="K66" s="330"/>
      <c r="L66" s="330" t="s">
        <v>70</v>
      </c>
      <c r="M66" s="330"/>
      <c r="N66" s="330"/>
    </row>
    <row r="67" spans="1:14" ht="38.25" x14ac:dyDescent="0.25">
      <c r="A67" s="4"/>
      <c r="B67" s="333"/>
      <c r="C67" s="335"/>
      <c r="D67" s="335"/>
      <c r="E67" s="337"/>
      <c r="F67" s="21" t="s">
        <v>71</v>
      </c>
      <c r="G67" s="21" t="s">
        <v>72</v>
      </c>
      <c r="H67" s="21" t="s">
        <v>73</v>
      </c>
      <c r="I67" s="21" t="s">
        <v>74</v>
      </c>
      <c r="J67" s="21" t="s">
        <v>72</v>
      </c>
      <c r="K67" s="21" t="s">
        <v>73</v>
      </c>
      <c r="L67" s="21" t="s">
        <v>74</v>
      </c>
      <c r="M67" s="21" t="s">
        <v>72</v>
      </c>
      <c r="N67" s="21" t="s">
        <v>73</v>
      </c>
    </row>
    <row r="68" spans="1:14" x14ac:dyDescent="0.25">
      <c r="A68" s="4"/>
      <c r="B68" s="21" t="s">
        <v>165</v>
      </c>
      <c r="C68" s="53">
        <v>40.200000000000003</v>
      </c>
      <c r="D68" s="54">
        <v>37</v>
      </c>
      <c r="E68" s="54">
        <v>35.799999999999997</v>
      </c>
      <c r="F68" s="54">
        <v>76</v>
      </c>
      <c r="G68" s="54">
        <v>100.25</v>
      </c>
      <c r="H68" s="53">
        <v>32</v>
      </c>
      <c r="I68" s="53">
        <v>102</v>
      </c>
      <c r="J68" s="53">
        <v>105.5</v>
      </c>
      <c r="K68" s="53">
        <v>67.7</v>
      </c>
      <c r="L68" s="53" t="s">
        <v>48</v>
      </c>
      <c r="M68" s="53" t="s">
        <v>48</v>
      </c>
      <c r="N68" s="53" t="s">
        <v>48</v>
      </c>
    </row>
    <row r="69" spans="1:14" ht="25.5" x14ac:dyDescent="0.25">
      <c r="A69" s="4"/>
      <c r="B69" s="21" t="s">
        <v>166</v>
      </c>
      <c r="C69" s="53">
        <v>9908.0499999999993</v>
      </c>
      <c r="D69" s="53">
        <v>9934.7999999999993</v>
      </c>
      <c r="E69" s="53">
        <v>10350.15</v>
      </c>
      <c r="F69" s="54">
        <v>10113.700000000001</v>
      </c>
      <c r="G69" s="54">
        <v>11171.55</v>
      </c>
      <c r="H69" s="54">
        <v>9075.15</v>
      </c>
      <c r="I69" s="53">
        <v>11623.9</v>
      </c>
      <c r="J69" s="53">
        <v>11760.2</v>
      </c>
      <c r="K69" s="53">
        <v>10004.549999999999</v>
      </c>
      <c r="L69" s="53" t="s">
        <v>48</v>
      </c>
      <c r="M69" s="53" t="s">
        <v>48</v>
      </c>
      <c r="N69" s="53" t="s">
        <v>48</v>
      </c>
    </row>
    <row r="70" spans="1:14" ht="13.5" x14ac:dyDescent="0.25">
      <c r="A70" s="4"/>
      <c r="B70" s="383" t="s">
        <v>156</v>
      </c>
      <c r="C70" s="383"/>
      <c r="D70" s="383"/>
      <c r="E70" s="383"/>
      <c r="F70" s="383"/>
      <c r="G70" s="383"/>
      <c r="H70" s="383"/>
      <c r="I70" s="383"/>
      <c r="J70" s="383"/>
      <c r="K70" s="383"/>
      <c r="L70" s="383"/>
      <c r="M70" s="383"/>
      <c r="N70" s="383"/>
    </row>
    <row r="71" spans="1:14" x14ac:dyDescent="0.25">
      <c r="A71" s="4"/>
      <c r="B71" s="382" t="s">
        <v>79</v>
      </c>
      <c r="C71" s="382"/>
      <c r="D71" s="382"/>
      <c r="E71" s="382"/>
      <c r="F71" s="382"/>
      <c r="G71" s="382"/>
      <c r="H71" s="382"/>
      <c r="I71" s="382"/>
      <c r="J71" s="382"/>
      <c r="K71" s="382"/>
      <c r="L71" s="382"/>
      <c r="M71" s="382"/>
      <c r="N71" s="382"/>
    </row>
    <row r="72" spans="1:14" s="57" customFormat="1" x14ac:dyDescent="0.25">
      <c r="B72" s="382" t="s">
        <v>80</v>
      </c>
      <c r="C72" s="382"/>
      <c r="D72" s="382"/>
      <c r="E72" s="382"/>
      <c r="F72" s="382"/>
      <c r="G72" s="382"/>
      <c r="H72" s="382"/>
      <c r="I72" s="382"/>
      <c r="J72" s="382"/>
      <c r="K72" s="382"/>
      <c r="L72" s="382"/>
      <c r="M72" s="382"/>
      <c r="N72" s="382"/>
    </row>
    <row r="73" spans="1:14" x14ac:dyDescent="0.25">
      <c r="A73" s="4"/>
      <c r="B73" s="382" t="s">
        <v>420</v>
      </c>
      <c r="C73" s="382"/>
      <c r="D73" s="382"/>
      <c r="E73" s="382"/>
      <c r="F73" s="382"/>
      <c r="G73" s="382"/>
      <c r="H73" s="382"/>
      <c r="I73" s="382"/>
      <c r="J73" s="382"/>
      <c r="K73" s="382"/>
      <c r="L73" s="382"/>
      <c r="M73" s="382"/>
      <c r="N73" s="382"/>
    </row>
    <row r="74" spans="1:14" x14ac:dyDescent="0.25">
      <c r="A74" s="4"/>
      <c r="B74" s="382" t="s">
        <v>82</v>
      </c>
      <c r="C74" s="382"/>
      <c r="D74" s="382"/>
      <c r="E74" s="382"/>
      <c r="F74" s="382"/>
      <c r="G74" s="382"/>
      <c r="H74" s="382"/>
      <c r="I74" s="382"/>
      <c r="J74" s="382"/>
      <c r="K74" s="382"/>
      <c r="L74" s="382"/>
      <c r="M74" s="382"/>
      <c r="N74" s="382"/>
    </row>
    <row r="75" spans="1:14" x14ac:dyDescent="0.25">
      <c r="A75" s="4"/>
      <c r="B75" s="58"/>
      <c r="C75" s="58"/>
      <c r="D75" s="58"/>
      <c r="E75" s="58"/>
      <c r="F75" s="58"/>
      <c r="G75" s="17"/>
      <c r="H75" s="17"/>
      <c r="I75" s="17"/>
      <c r="J75" s="17"/>
      <c r="K75" s="17"/>
      <c r="L75" s="17"/>
      <c r="M75" s="17"/>
      <c r="N75" s="17"/>
    </row>
    <row r="76" spans="1:14" x14ac:dyDescent="0.25">
      <c r="A76" s="13">
        <v>13</v>
      </c>
      <c r="B76" s="338" t="s">
        <v>83</v>
      </c>
      <c r="C76" s="339"/>
      <c r="D76" s="339"/>
      <c r="E76" s="339"/>
      <c r="F76" s="339"/>
      <c r="G76" s="340"/>
      <c r="H76" s="15"/>
      <c r="I76" s="15"/>
      <c r="J76" s="15"/>
      <c r="K76" s="15"/>
      <c r="L76" s="15"/>
      <c r="M76" s="15"/>
      <c r="N76" s="15"/>
    </row>
    <row r="77" spans="1:14" x14ac:dyDescent="0.25">
      <c r="A77" s="13"/>
      <c r="B77" s="26"/>
      <c r="C77" s="19"/>
      <c r="D77" s="19"/>
      <c r="E77" s="19"/>
      <c r="F77" s="19"/>
      <c r="G77" s="19"/>
      <c r="H77" s="19"/>
      <c r="I77" s="19"/>
      <c r="J77" s="19"/>
      <c r="K77" s="19"/>
      <c r="L77" s="19"/>
      <c r="M77" s="19"/>
      <c r="N77" s="19"/>
    </row>
    <row r="78" spans="1:14" ht="63.75" x14ac:dyDescent="0.25">
      <c r="A78" s="4"/>
      <c r="B78" s="59" t="s">
        <v>84</v>
      </c>
      <c r="C78" s="22" t="s">
        <v>85</v>
      </c>
      <c r="D78" s="22" t="s">
        <v>86</v>
      </c>
      <c r="E78" s="22" t="s">
        <v>280</v>
      </c>
      <c r="F78" s="22" t="s">
        <v>88</v>
      </c>
      <c r="G78" s="22" t="s">
        <v>169</v>
      </c>
      <c r="H78" s="17"/>
      <c r="I78" s="17"/>
      <c r="J78" s="17"/>
      <c r="K78" s="17"/>
      <c r="L78" s="17"/>
      <c r="M78" s="17"/>
      <c r="N78" s="17"/>
    </row>
    <row r="79" spans="1:14" ht="15" x14ac:dyDescent="0.25">
      <c r="A79" s="4"/>
      <c r="B79" s="316" t="s">
        <v>90</v>
      </c>
      <c r="C79" s="5" t="s">
        <v>521</v>
      </c>
      <c r="D79" s="115">
        <v>6.14</v>
      </c>
      <c r="E79" s="61">
        <v>3.14</v>
      </c>
      <c r="F79" s="201">
        <v>16.579999999999998</v>
      </c>
      <c r="G79" s="412" t="s">
        <v>282</v>
      </c>
      <c r="H79" s="62"/>
      <c r="I79" s="62"/>
      <c r="J79" s="62"/>
      <c r="K79" s="62"/>
      <c r="L79" s="62"/>
      <c r="M79" s="62"/>
      <c r="N79" s="62"/>
    </row>
    <row r="80" spans="1:14" x14ac:dyDescent="0.25">
      <c r="A80" s="4"/>
      <c r="B80" s="316"/>
      <c r="C80" s="5" t="s">
        <v>92</v>
      </c>
      <c r="D80" s="63"/>
      <c r="E80" s="61"/>
      <c r="F80" s="201"/>
      <c r="G80" s="413"/>
      <c r="H80" s="62"/>
      <c r="I80" s="62"/>
      <c r="J80" s="62"/>
      <c r="K80" s="62"/>
      <c r="L80" s="62"/>
      <c r="M80" s="62"/>
      <c r="N80" s="62"/>
    </row>
    <row r="81" spans="1:14" ht="15" x14ac:dyDescent="0.25">
      <c r="A81" s="4"/>
      <c r="B81" s="316"/>
      <c r="C81" s="25" t="s">
        <v>522</v>
      </c>
      <c r="D81" s="115">
        <v>15.78</v>
      </c>
      <c r="E81" s="61">
        <v>19.02</v>
      </c>
      <c r="F81" s="201">
        <v>6.24</v>
      </c>
      <c r="G81" s="413"/>
      <c r="H81" s="62"/>
      <c r="I81" s="62"/>
      <c r="J81" s="62"/>
      <c r="K81" s="62"/>
      <c r="L81" s="62"/>
      <c r="M81" s="62"/>
      <c r="N81" s="62"/>
    </row>
    <row r="82" spans="1:14" x14ac:dyDescent="0.25">
      <c r="A82" s="4"/>
      <c r="B82" s="316"/>
      <c r="C82" s="25" t="s">
        <v>523</v>
      </c>
      <c r="D82" s="63">
        <v>81.680000000000007</v>
      </c>
      <c r="E82" s="61">
        <v>69.87</v>
      </c>
      <c r="F82" s="202">
        <v>54.19</v>
      </c>
      <c r="G82" s="413"/>
      <c r="H82" s="62"/>
      <c r="I82" s="62"/>
      <c r="J82" s="62"/>
      <c r="K82" s="62"/>
      <c r="L82" s="62"/>
      <c r="M82" s="62"/>
      <c r="N82" s="62"/>
    </row>
    <row r="83" spans="1:14" x14ac:dyDescent="0.25">
      <c r="A83" s="4"/>
      <c r="B83" s="316"/>
      <c r="C83" s="5" t="s">
        <v>93</v>
      </c>
      <c r="D83" s="164">
        <f>SUM(D81:D82)/2</f>
        <v>48.730000000000004</v>
      </c>
      <c r="E83" s="164">
        <f>SUM(E81:E82)/2</f>
        <v>44.445</v>
      </c>
      <c r="F83" s="164">
        <f>SUM(F81:F82)/2</f>
        <v>30.215</v>
      </c>
      <c r="G83" s="413"/>
      <c r="H83" s="62"/>
      <c r="I83" s="62"/>
      <c r="J83" s="62"/>
      <c r="K83" s="62"/>
      <c r="L83" s="62"/>
      <c r="M83" s="62"/>
      <c r="N83" s="62"/>
    </row>
    <row r="84" spans="1:14" x14ac:dyDescent="0.2">
      <c r="A84" s="4"/>
      <c r="B84" s="316" t="s">
        <v>94</v>
      </c>
      <c r="C84" s="5" t="s">
        <v>521</v>
      </c>
      <c r="D84" s="93">
        <v>6.51</v>
      </c>
      <c r="E84" s="64">
        <f>76/E79</f>
        <v>24.203821656050955</v>
      </c>
      <c r="F84" s="201"/>
      <c r="G84" s="413"/>
      <c r="H84" s="62"/>
      <c r="I84" s="62"/>
      <c r="J84" s="62"/>
      <c r="K84" s="62"/>
      <c r="L84" s="62"/>
      <c r="M84" s="62"/>
      <c r="N84" s="62"/>
    </row>
    <row r="85" spans="1:14" x14ac:dyDescent="0.25">
      <c r="A85" s="4"/>
      <c r="B85" s="316"/>
      <c r="C85" s="5" t="s">
        <v>92</v>
      </c>
      <c r="D85" s="63"/>
      <c r="E85" s="61"/>
      <c r="F85" s="202">
        <f>I68/F79</f>
        <v>6.1519903498190596</v>
      </c>
      <c r="G85" s="413"/>
      <c r="H85" s="62"/>
      <c r="I85" s="62"/>
      <c r="J85" s="62"/>
      <c r="K85" s="62"/>
      <c r="L85" s="62"/>
      <c r="M85" s="62"/>
      <c r="N85" s="62"/>
    </row>
    <row r="86" spans="1:14" x14ac:dyDescent="0.25">
      <c r="A86" s="4"/>
      <c r="B86" s="316"/>
      <c r="C86" s="25" t="s">
        <v>522</v>
      </c>
      <c r="D86" s="63">
        <v>20.83</v>
      </c>
      <c r="E86" s="64">
        <f>333/E81</f>
        <v>17.50788643533123</v>
      </c>
      <c r="F86" s="202">
        <f>278.35/F81</f>
        <v>44.607371794871796</v>
      </c>
      <c r="G86" s="413"/>
      <c r="H86" s="62"/>
      <c r="I86" s="62"/>
      <c r="J86" s="62"/>
      <c r="K86" s="62"/>
      <c r="L86" s="62"/>
      <c r="M86" s="62"/>
      <c r="N86" s="62"/>
    </row>
    <row r="87" spans="1:14" x14ac:dyDescent="0.25">
      <c r="A87" s="4"/>
      <c r="B87" s="316"/>
      <c r="C87" s="25" t="s">
        <v>523</v>
      </c>
      <c r="D87" s="63">
        <v>15.9</v>
      </c>
      <c r="E87" s="68">
        <f>1203.2/E82</f>
        <v>17.220552454558465</v>
      </c>
      <c r="F87" s="202">
        <f>1151.45/F82</f>
        <v>21.248385310942979</v>
      </c>
      <c r="G87" s="413"/>
      <c r="H87" s="62"/>
      <c r="I87" s="62"/>
      <c r="J87" s="62"/>
      <c r="K87" s="62"/>
      <c r="L87" s="62"/>
      <c r="M87" s="62"/>
      <c r="N87" s="62"/>
    </row>
    <row r="88" spans="1:14" x14ac:dyDescent="0.25">
      <c r="A88" s="4"/>
      <c r="B88" s="316"/>
      <c r="C88" s="5" t="s">
        <v>93</v>
      </c>
      <c r="D88" s="164">
        <f>SUM(D86:D87)/2</f>
        <v>18.364999999999998</v>
      </c>
      <c r="E88" s="164">
        <f>SUM(E86:E87)/2</f>
        <v>17.364219444944847</v>
      </c>
      <c r="F88" s="164">
        <f>SUM(F86:F87)/2</f>
        <v>32.927878552907387</v>
      </c>
      <c r="G88" s="413"/>
      <c r="H88" s="62"/>
      <c r="I88" s="62"/>
      <c r="J88" s="62"/>
      <c r="K88" s="62"/>
      <c r="L88" s="62"/>
      <c r="M88" s="62"/>
      <c r="N88" s="62"/>
    </row>
    <row r="89" spans="1:14" x14ac:dyDescent="0.2">
      <c r="A89" s="4"/>
      <c r="B89" s="316" t="s">
        <v>95</v>
      </c>
      <c r="C89" s="5" t="s">
        <v>521</v>
      </c>
      <c r="D89" s="91">
        <v>32.03</v>
      </c>
      <c r="E89" s="198">
        <f>106.24/954.73*100</f>
        <v>11.127753396248155</v>
      </c>
      <c r="F89" s="202">
        <f>561.7/1514.73*100</f>
        <v>37.082516356050256</v>
      </c>
      <c r="G89" s="413"/>
      <c r="H89" s="62"/>
      <c r="I89" s="62"/>
      <c r="J89" s="62"/>
      <c r="K89" s="62"/>
      <c r="L89" s="62"/>
      <c r="M89" s="62"/>
      <c r="N89" s="62"/>
    </row>
    <row r="90" spans="1:14" x14ac:dyDescent="0.25">
      <c r="A90" s="4"/>
      <c r="B90" s="316"/>
      <c r="C90" s="5" t="s">
        <v>92</v>
      </c>
      <c r="D90" s="63"/>
      <c r="E90" s="61"/>
      <c r="F90" s="201"/>
      <c r="G90" s="413"/>
      <c r="H90" s="62"/>
      <c r="I90" s="62"/>
      <c r="J90" s="62"/>
      <c r="K90" s="62"/>
      <c r="L90" s="62"/>
      <c r="M90" s="62"/>
      <c r="N90" s="62"/>
    </row>
    <row r="91" spans="1:14" x14ac:dyDescent="0.25">
      <c r="A91" s="4"/>
      <c r="B91" s="316"/>
      <c r="C91" s="25" t="s">
        <v>522</v>
      </c>
      <c r="D91" s="63">
        <v>16.239999999999998</v>
      </c>
      <c r="E91" s="198">
        <f>2899/17478*100</f>
        <v>16.586565968646298</v>
      </c>
      <c r="F91" s="202">
        <f>951/17474*100</f>
        <v>5.4423715234062042</v>
      </c>
      <c r="G91" s="413"/>
      <c r="H91" s="62"/>
      <c r="I91" s="62"/>
      <c r="J91" s="62"/>
      <c r="K91" s="62"/>
      <c r="L91" s="62"/>
      <c r="M91" s="62"/>
      <c r="N91" s="62"/>
    </row>
    <row r="92" spans="1:14" x14ac:dyDescent="0.25">
      <c r="A92" s="4"/>
      <c r="B92" s="316"/>
      <c r="C92" s="25" t="s">
        <v>523</v>
      </c>
      <c r="D92" s="116">
        <v>30.12</v>
      </c>
      <c r="E92" s="198">
        <f>2781.19/10953.49*100</f>
        <v>25.39090280814608</v>
      </c>
      <c r="F92" s="202">
        <f>2096.13/13052.03*100</f>
        <v>16.059800659361034</v>
      </c>
      <c r="G92" s="413"/>
      <c r="H92" s="62"/>
      <c r="I92" s="62"/>
      <c r="J92" s="62"/>
      <c r="K92" s="62"/>
      <c r="L92" s="62"/>
      <c r="M92" s="62"/>
      <c r="N92" s="62"/>
    </row>
    <row r="93" spans="1:14" x14ac:dyDescent="0.25">
      <c r="A93" s="4"/>
      <c r="B93" s="316"/>
      <c r="C93" s="5" t="s">
        <v>93</v>
      </c>
      <c r="D93" s="164">
        <f>SUM(D91:D92)/2</f>
        <v>23.18</v>
      </c>
      <c r="E93" s="164">
        <f>SUM(E91:E92)/2</f>
        <v>20.988734388396189</v>
      </c>
      <c r="F93" s="164">
        <f>SUM(F91:F92)/2</f>
        <v>10.75108609138362</v>
      </c>
      <c r="G93" s="413"/>
      <c r="H93" s="62"/>
      <c r="I93" s="62"/>
      <c r="J93" s="62"/>
      <c r="K93" s="66"/>
      <c r="L93" s="62"/>
      <c r="M93" s="62"/>
      <c r="N93" s="62"/>
    </row>
    <row r="94" spans="1:14" x14ac:dyDescent="0.2">
      <c r="A94" s="4"/>
      <c r="B94" s="316" t="s">
        <v>96</v>
      </c>
      <c r="C94" s="5" t="s">
        <v>521</v>
      </c>
      <c r="D94" s="91">
        <v>19.170000000000002</v>
      </c>
      <c r="E94" s="64">
        <f>954.73/33.87</f>
        <v>28.188072040153532</v>
      </c>
      <c r="F94" s="202">
        <f>1514.73*100000/3387000</f>
        <v>44.721877767936228</v>
      </c>
      <c r="G94" s="413"/>
      <c r="H94" s="62"/>
      <c r="I94" s="62"/>
      <c r="J94" s="62"/>
      <c r="K94" s="62"/>
      <c r="L94" s="62"/>
      <c r="M94" s="62"/>
      <c r="N94" s="62"/>
    </row>
    <row r="95" spans="1:14" x14ac:dyDescent="0.25">
      <c r="A95" s="4"/>
      <c r="B95" s="316"/>
      <c r="C95" s="5" t="s">
        <v>92</v>
      </c>
      <c r="D95" s="63"/>
      <c r="E95" s="61"/>
      <c r="F95" s="201"/>
      <c r="G95" s="413"/>
      <c r="H95" s="62"/>
      <c r="I95" s="62"/>
      <c r="J95" s="62"/>
      <c r="K95" s="62"/>
      <c r="L95" s="62"/>
      <c r="M95" s="62"/>
      <c r="N95" s="62"/>
    </row>
    <row r="96" spans="1:14" x14ac:dyDescent="0.25">
      <c r="A96" s="4"/>
      <c r="B96" s="386"/>
      <c r="C96" s="25" t="s">
        <v>522</v>
      </c>
      <c r="D96" s="63">
        <v>97.15</v>
      </c>
      <c r="E96" s="64">
        <f>17478/152.4</f>
        <v>114.68503937007874</v>
      </c>
      <c r="F96" s="202">
        <f>17474*100000/15240000</f>
        <v>114.65879265091864</v>
      </c>
      <c r="G96" s="413"/>
      <c r="H96" s="62"/>
      <c r="I96" s="62"/>
      <c r="J96" s="62"/>
      <c r="K96" s="62"/>
      <c r="L96" s="62"/>
      <c r="M96" s="62"/>
      <c r="N96" s="62"/>
    </row>
    <row r="97" spans="1:14" x14ac:dyDescent="0.25">
      <c r="A97" s="4"/>
      <c r="B97" s="386"/>
      <c r="C97" s="25" t="s">
        <v>523</v>
      </c>
      <c r="D97" s="63">
        <v>275.88</v>
      </c>
      <c r="E97" s="64">
        <f>10953.49/38.62</f>
        <v>283.62221646815124</v>
      </c>
      <c r="F97" s="202">
        <f>13052.03*1000000/38711000</f>
        <v>337.16592183100408</v>
      </c>
      <c r="G97" s="413"/>
      <c r="H97" s="62"/>
      <c r="I97" s="62"/>
      <c r="J97" s="62"/>
      <c r="K97" s="62"/>
      <c r="L97" s="62"/>
      <c r="M97" s="62"/>
      <c r="N97" s="62"/>
    </row>
    <row r="98" spans="1:14" x14ac:dyDescent="0.25">
      <c r="A98" s="4"/>
      <c r="B98" s="386"/>
      <c r="C98" s="5" t="s">
        <v>93</v>
      </c>
      <c r="D98" s="164">
        <f>SUM(D96:D97)/2</f>
        <v>186.51499999999999</v>
      </c>
      <c r="E98" s="164">
        <f>SUM(E96:E97)/2</f>
        <v>199.153627919115</v>
      </c>
      <c r="F98" s="164">
        <f>SUM(F96:F97)/2</f>
        <v>225.91235724096137</v>
      </c>
      <c r="G98" s="413"/>
      <c r="H98" s="62"/>
      <c r="I98" s="62"/>
      <c r="J98" s="62"/>
      <c r="K98" s="62"/>
      <c r="L98" s="62"/>
      <c r="M98" s="62"/>
      <c r="N98" s="62"/>
    </row>
    <row r="99" spans="1:14" s="57" customFormat="1" x14ac:dyDescent="0.25">
      <c r="B99" s="387"/>
      <c r="C99" s="388"/>
      <c r="D99" s="388"/>
      <c r="E99" s="388"/>
      <c r="F99" s="388"/>
      <c r="G99" s="389"/>
    </row>
    <row r="100" spans="1:14" x14ac:dyDescent="0.25">
      <c r="A100" s="4"/>
      <c r="B100" s="376" t="s">
        <v>524</v>
      </c>
      <c r="C100" s="377"/>
      <c r="D100" s="377"/>
      <c r="E100" s="377"/>
      <c r="F100" s="377"/>
      <c r="G100" s="378"/>
      <c r="H100" s="62"/>
      <c r="I100" s="62"/>
      <c r="J100" s="62"/>
      <c r="K100" s="62"/>
      <c r="L100" s="62"/>
      <c r="M100" s="62"/>
      <c r="N100" s="62"/>
    </row>
    <row r="101" spans="1:14" x14ac:dyDescent="0.25">
      <c r="A101" s="4"/>
      <c r="B101" s="379" t="s">
        <v>128</v>
      </c>
      <c r="C101" s="380"/>
      <c r="D101" s="380"/>
      <c r="E101" s="380"/>
      <c r="F101" s="380"/>
      <c r="G101" s="381"/>
      <c r="H101" s="62"/>
      <c r="I101" s="62"/>
      <c r="J101" s="62"/>
      <c r="K101" s="62"/>
      <c r="L101" s="62"/>
      <c r="M101" s="62"/>
      <c r="N101" s="62"/>
    </row>
    <row r="102" spans="1:14" x14ac:dyDescent="0.25">
      <c r="A102" s="4"/>
      <c r="B102" s="353"/>
      <c r="C102" s="354"/>
      <c r="D102" s="354"/>
      <c r="E102" s="354"/>
      <c r="F102" s="354"/>
      <c r="G102" s="355"/>
      <c r="H102" s="62"/>
      <c r="I102" s="62"/>
      <c r="J102" s="62"/>
      <c r="K102" s="62"/>
      <c r="L102" s="62"/>
      <c r="M102" s="62"/>
      <c r="N102" s="62"/>
    </row>
    <row r="103" spans="1:14" x14ac:dyDescent="0.25">
      <c r="A103" s="26"/>
      <c r="B103" s="12"/>
      <c r="C103" s="323"/>
      <c r="D103" s="323"/>
      <c r="E103" s="323"/>
      <c r="F103" s="323"/>
      <c r="G103" s="323"/>
      <c r="H103" s="62"/>
      <c r="I103" s="62"/>
      <c r="J103" s="26"/>
      <c r="K103" s="26"/>
      <c r="L103" s="26"/>
      <c r="M103" s="26"/>
      <c r="N103" s="26"/>
    </row>
    <row r="104" spans="1:14" x14ac:dyDescent="0.25">
      <c r="A104" s="13">
        <v>14</v>
      </c>
      <c r="B104" s="70" t="s">
        <v>99</v>
      </c>
      <c r="C104" s="324" t="s">
        <v>48</v>
      </c>
      <c r="D104" s="325"/>
      <c r="E104" s="325"/>
      <c r="F104" s="325"/>
      <c r="G104" s="326"/>
      <c r="H104" s="26"/>
      <c r="I104" s="26"/>
      <c r="J104" s="26"/>
      <c r="K104" s="26"/>
      <c r="L104" s="26"/>
      <c r="M104" s="26"/>
      <c r="N104" s="26"/>
    </row>
    <row r="105" spans="1:14" x14ac:dyDescent="0.25">
      <c r="A105" s="71"/>
      <c r="B105" s="26"/>
      <c r="C105" s="84"/>
      <c r="D105" s="84"/>
      <c r="E105" s="84"/>
      <c r="F105" s="84"/>
      <c r="G105" s="84"/>
      <c r="H105" s="26"/>
      <c r="I105" s="26"/>
      <c r="J105" s="26"/>
      <c r="K105" s="26"/>
      <c r="L105" s="26"/>
      <c r="M105" s="26"/>
      <c r="N105" s="26"/>
    </row>
    <row r="106" spans="1:14" x14ac:dyDescent="0.25">
      <c r="A106" s="26"/>
      <c r="B106" s="374" t="s">
        <v>525</v>
      </c>
      <c r="C106" s="375"/>
      <c r="D106" s="375"/>
      <c r="E106" s="375"/>
      <c r="F106" s="375"/>
      <c r="G106" s="375"/>
      <c r="H106" s="375"/>
      <c r="I106" s="26"/>
      <c r="J106" s="26"/>
      <c r="K106" s="26"/>
      <c r="L106" s="26"/>
      <c r="M106" s="26"/>
      <c r="N106" s="26"/>
    </row>
    <row r="107" spans="1:14" x14ac:dyDescent="0.25">
      <c r="A107" s="26"/>
      <c r="I107" s="26"/>
      <c r="J107" s="26"/>
      <c r="K107" s="26"/>
      <c r="L107" s="26"/>
      <c r="M107" s="26"/>
      <c r="N107" s="26"/>
    </row>
    <row r="108" spans="1:14" x14ac:dyDescent="0.25">
      <c r="A108" s="26"/>
      <c r="J108" s="26"/>
      <c r="K108" s="26"/>
      <c r="L108" s="26"/>
      <c r="M108" s="26"/>
      <c r="N108" s="26"/>
    </row>
  </sheetData>
  <sheetProtection password="E9DF" sheet="1" objects="1" scenarios="1"/>
  <mergeCells count="59">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E28:E31"/>
    <mergeCell ref="C21:E21"/>
    <mergeCell ref="B53:B54"/>
    <mergeCell ref="C53:E54"/>
    <mergeCell ref="B32:E32"/>
    <mergeCell ref="B34:E34"/>
    <mergeCell ref="B38:C38"/>
    <mergeCell ref="B41:E41"/>
    <mergeCell ref="C42:E42"/>
    <mergeCell ref="C43:E43"/>
    <mergeCell ref="C44:E44"/>
    <mergeCell ref="B45:E45"/>
    <mergeCell ref="B47:E47"/>
    <mergeCell ref="B50:E50"/>
    <mergeCell ref="B52:E52"/>
    <mergeCell ref="B72:N72"/>
    <mergeCell ref="C55:E55"/>
    <mergeCell ref="C56:E56"/>
    <mergeCell ref="B57:E57"/>
    <mergeCell ref="B58:E58"/>
    <mergeCell ref="C60:E60"/>
    <mergeCell ref="B66:B67"/>
    <mergeCell ref="C66:C67"/>
    <mergeCell ref="D66:D67"/>
    <mergeCell ref="E66:E67"/>
    <mergeCell ref="F66:H66"/>
    <mergeCell ref="I66:K66"/>
    <mergeCell ref="L66:N66"/>
    <mergeCell ref="B70:N70"/>
    <mergeCell ref="B71:N71"/>
    <mergeCell ref="B73:N73"/>
    <mergeCell ref="B74:N74"/>
    <mergeCell ref="B76:G76"/>
    <mergeCell ref="B79:B83"/>
    <mergeCell ref="G79:G98"/>
    <mergeCell ref="B84:B88"/>
    <mergeCell ref="B89:B93"/>
    <mergeCell ref="B94:B98"/>
    <mergeCell ref="B106:H106"/>
    <mergeCell ref="B99:G99"/>
    <mergeCell ref="B100:G100"/>
    <mergeCell ref="B101:G101"/>
    <mergeCell ref="B102:G102"/>
    <mergeCell ref="C103:G103"/>
    <mergeCell ref="C104:G10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topLeftCell="A31" workbookViewId="0">
      <selection activeCell="B31" sqref="B31"/>
    </sheetView>
  </sheetViews>
  <sheetFormatPr defaultColWidth="8.85546875" defaultRowHeight="12.75" x14ac:dyDescent="0.25"/>
  <cols>
    <col min="1" max="1" width="8.85546875" style="73"/>
    <col min="2" max="3" width="40.85546875" style="73" customWidth="1"/>
    <col min="4" max="4" width="15.85546875" style="116"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117"/>
      <c r="E1" s="26"/>
      <c r="F1" s="26"/>
      <c r="G1" s="26"/>
      <c r="H1" s="26"/>
      <c r="I1" s="26"/>
      <c r="J1" s="26"/>
      <c r="K1" s="26"/>
      <c r="L1" s="26"/>
      <c r="M1" s="26"/>
      <c r="N1" s="26"/>
    </row>
    <row r="2" spans="1:25" x14ac:dyDescent="0.25">
      <c r="A2" s="26"/>
      <c r="B2" s="26"/>
      <c r="C2" s="26"/>
      <c r="D2" s="71"/>
      <c r="E2" s="26"/>
      <c r="F2" s="26"/>
      <c r="G2" s="26"/>
      <c r="H2" s="26"/>
      <c r="I2" s="26"/>
      <c r="J2" s="26"/>
      <c r="K2" s="26"/>
      <c r="L2" s="26"/>
      <c r="M2" s="26"/>
      <c r="N2" s="26"/>
    </row>
    <row r="3" spans="1:25" ht="19.149999999999999" customHeight="1" x14ac:dyDescent="0.25">
      <c r="A3" s="4" t="s">
        <v>1</v>
      </c>
      <c r="B3" s="5" t="s">
        <v>2</v>
      </c>
      <c r="C3" s="6" t="s">
        <v>526</v>
      </c>
      <c r="D3" s="71"/>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527</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528</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529</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9"/>
      <c r="E24" s="17"/>
      <c r="F24" s="19"/>
      <c r="G24" s="17"/>
      <c r="H24" s="17"/>
      <c r="I24" s="17"/>
      <c r="J24" s="17"/>
      <c r="K24" s="17"/>
      <c r="L24" s="17"/>
      <c r="M24" s="17"/>
      <c r="N24" s="17"/>
    </row>
    <row r="25" spans="1:14" x14ac:dyDescent="0.25">
      <c r="A25" s="13"/>
      <c r="B25" s="19"/>
      <c r="C25" s="19"/>
      <c r="D25" s="13"/>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00" t="s">
        <v>324</v>
      </c>
      <c r="D28" s="22" t="s">
        <v>26</v>
      </c>
      <c r="E28" s="200" t="s">
        <v>355</v>
      </c>
      <c r="F28" s="19"/>
      <c r="G28" s="26"/>
      <c r="H28" s="26"/>
      <c r="I28" s="26"/>
      <c r="J28" s="26"/>
      <c r="K28" s="26"/>
      <c r="L28" s="26"/>
      <c r="M28" s="26"/>
      <c r="N28" s="26"/>
    </row>
    <row r="29" spans="1:14" x14ac:dyDescent="0.25">
      <c r="A29" s="13"/>
      <c r="B29" s="23" t="s">
        <v>28</v>
      </c>
      <c r="C29" s="24">
        <v>33442.28</v>
      </c>
      <c r="D29" s="136">
        <v>53782.78</v>
      </c>
      <c r="E29" s="420" t="s">
        <v>265</v>
      </c>
      <c r="F29" s="19"/>
      <c r="G29" s="26"/>
      <c r="H29" s="26"/>
      <c r="I29" s="26"/>
      <c r="J29" s="26"/>
      <c r="K29" s="26"/>
      <c r="L29" s="26"/>
      <c r="M29" s="26"/>
      <c r="N29" s="26"/>
    </row>
    <row r="30" spans="1:14" x14ac:dyDescent="0.25">
      <c r="A30" s="13"/>
      <c r="B30" s="23" t="s">
        <v>530</v>
      </c>
      <c r="C30" s="24">
        <v>63.62</v>
      </c>
      <c r="D30" s="201">
        <v>946.18</v>
      </c>
      <c r="E30" s="421"/>
      <c r="F30" s="19"/>
      <c r="G30" s="26"/>
      <c r="H30" s="26"/>
      <c r="I30" s="26"/>
      <c r="J30" s="26"/>
      <c r="K30" s="26"/>
      <c r="L30" s="26"/>
      <c r="M30" s="26"/>
      <c r="N30" s="26"/>
    </row>
    <row r="31" spans="1:14" x14ac:dyDescent="0.25">
      <c r="A31" s="13"/>
      <c r="B31" s="23" t="s">
        <v>30</v>
      </c>
      <c r="C31" s="24">
        <v>1028.4000000000001</v>
      </c>
      <c r="D31" s="136">
        <v>1028.4000000000001</v>
      </c>
      <c r="E31" s="421"/>
      <c r="F31" s="19"/>
      <c r="G31" s="26"/>
      <c r="H31" s="26"/>
      <c r="I31" s="26"/>
      <c r="J31" s="26"/>
      <c r="K31" s="26"/>
      <c r="L31" s="26"/>
      <c r="M31" s="26"/>
      <c r="N31" s="26"/>
    </row>
    <row r="32" spans="1:14" x14ac:dyDescent="0.25">
      <c r="A32" s="13"/>
      <c r="B32" s="23" t="s">
        <v>31</v>
      </c>
      <c r="C32" s="24">
        <v>4180.99</v>
      </c>
      <c r="D32" s="136">
        <v>5127.17</v>
      </c>
      <c r="E32" s="422"/>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3"/>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9"/>
      <c r="E36" s="17"/>
      <c r="F36" s="17"/>
      <c r="G36" s="26"/>
      <c r="H36" s="26"/>
      <c r="I36" s="26"/>
      <c r="J36" s="26"/>
      <c r="K36" s="26"/>
      <c r="L36" s="26"/>
      <c r="M36" s="26"/>
      <c r="N36" s="26"/>
    </row>
    <row r="37" spans="1:14" x14ac:dyDescent="0.25">
      <c r="A37" s="13"/>
      <c r="B37" s="21" t="s">
        <v>36</v>
      </c>
      <c r="C37" s="201" t="s">
        <v>245</v>
      </c>
      <c r="D37" s="9"/>
      <c r="E37" s="17"/>
      <c r="F37" s="17"/>
      <c r="G37" s="26"/>
      <c r="H37" s="26"/>
      <c r="I37" s="26"/>
      <c r="J37" s="26"/>
      <c r="K37" s="26"/>
      <c r="L37" s="26"/>
      <c r="M37" s="26"/>
      <c r="N37" s="26"/>
    </row>
    <row r="38" spans="1:14" x14ac:dyDescent="0.25">
      <c r="A38" s="13"/>
      <c r="B38" s="27" t="s">
        <v>37</v>
      </c>
      <c r="C38" s="105" t="s">
        <v>263</v>
      </c>
      <c r="D38" s="9"/>
      <c r="E38" s="17"/>
      <c r="F38" s="17"/>
      <c r="G38" s="26"/>
      <c r="H38" s="26"/>
      <c r="I38" s="26"/>
      <c r="J38" s="26"/>
      <c r="K38" s="26"/>
      <c r="L38" s="26"/>
      <c r="M38" s="26"/>
      <c r="N38" s="26"/>
    </row>
    <row r="39" spans="1:14" x14ac:dyDescent="0.25">
      <c r="A39" s="13"/>
      <c r="B39" s="382" t="s">
        <v>156</v>
      </c>
      <c r="C39" s="382"/>
      <c r="D39" s="9"/>
      <c r="E39" s="17"/>
      <c r="F39" s="17"/>
      <c r="G39" s="26"/>
      <c r="H39" s="26"/>
      <c r="I39" s="26"/>
      <c r="J39" s="26"/>
      <c r="K39" s="26"/>
      <c r="L39" s="26"/>
      <c r="M39" s="26"/>
      <c r="N39" s="26"/>
    </row>
    <row r="40" spans="1:14" x14ac:dyDescent="0.25">
      <c r="A40" s="13"/>
      <c r="B40" s="74"/>
      <c r="C40" s="17"/>
      <c r="D40" s="9"/>
      <c r="E40" s="17"/>
      <c r="F40" s="17"/>
      <c r="G40" s="26"/>
      <c r="H40" s="26"/>
      <c r="I40" s="26"/>
      <c r="J40" s="26"/>
      <c r="K40" s="26"/>
      <c r="L40" s="26"/>
      <c r="M40" s="26"/>
      <c r="N40" s="26"/>
    </row>
    <row r="41" spans="1:14" x14ac:dyDescent="0.25">
      <c r="A41" s="13"/>
      <c r="B41" s="19"/>
      <c r="C41" s="17"/>
      <c r="D41" s="9"/>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107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369</v>
      </c>
      <c r="C50" s="94" t="s">
        <v>531</v>
      </c>
      <c r="D50" s="33"/>
      <c r="E50" s="32"/>
      <c r="F50" s="26"/>
      <c r="G50" s="26"/>
      <c r="H50" s="26"/>
      <c r="I50" s="26"/>
      <c r="J50" s="26"/>
      <c r="K50" s="26"/>
      <c r="L50" s="26"/>
      <c r="M50" s="26"/>
    </row>
    <row r="51" spans="1:14" x14ac:dyDescent="0.25">
      <c r="A51" s="36"/>
      <c r="B51" s="345" t="s">
        <v>532</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533</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534</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118"/>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3"/>
      <c r="E62" s="19"/>
      <c r="F62" s="19"/>
      <c r="G62" s="19"/>
      <c r="H62" s="52"/>
      <c r="I62" s="52"/>
      <c r="J62" s="19"/>
      <c r="K62" s="26"/>
      <c r="L62" s="26"/>
      <c r="M62" s="26"/>
      <c r="N62" s="26"/>
    </row>
    <row r="63" spans="1:14" x14ac:dyDescent="0.25">
      <c r="A63" s="13">
        <v>12</v>
      </c>
      <c r="B63" s="15" t="s">
        <v>61</v>
      </c>
      <c r="C63" s="15"/>
      <c r="D63" s="13"/>
      <c r="E63" s="51"/>
      <c r="F63" s="51"/>
      <c r="G63" s="51"/>
      <c r="H63" s="15"/>
      <c r="I63" s="15"/>
      <c r="J63" s="15"/>
      <c r="K63" s="15"/>
      <c r="L63" s="15"/>
      <c r="M63" s="15"/>
      <c r="N63" s="15"/>
    </row>
    <row r="64" spans="1:14" x14ac:dyDescent="0.25">
      <c r="A64" s="13"/>
      <c r="B64" s="15"/>
      <c r="C64" s="15"/>
      <c r="D64" s="13"/>
      <c r="E64" s="15"/>
      <c r="F64" s="15"/>
      <c r="G64" s="15"/>
      <c r="H64" s="15"/>
      <c r="I64" s="15"/>
      <c r="J64" s="15"/>
      <c r="K64" s="15"/>
      <c r="L64" s="15"/>
      <c r="M64" s="15"/>
      <c r="N64" s="15"/>
    </row>
    <row r="65" spans="1:14" x14ac:dyDescent="0.25">
      <c r="A65" s="13"/>
      <c r="B65" s="21" t="s">
        <v>62</v>
      </c>
      <c r="C65" s="23" t="s">
        <v>535</v>
      </c>
      <c r="D65" s="13"/>
      <c r="E65" s="19"/>
      <c r="F65" s="52"/>
      <c r="G65" s="52"/>
      <c r="H65" s="19"/>
      <c r="I65" s="19"/>
      <c r="J65" s="19"/>
      <c r="K65" s="19"/>
      <c r="L65" s="19"/>
      <c r="M65" s="19"/>
      <c r="N65" s="19"/>
    </row>
    <row r="66" spans="1:14" x14ac:dyDescent="0.25">
      <c r="A66" s="13"/>
      <c r="B66" s="19"/>
      <c r="C66" s="19"/>
      <c r="D66" s="13"/>
      <c r="E66" s="19"/>
      <c r="F66" s="19"/>
      <c r="G66" s="19"/>
      <c r="H66" s="19"/>
      <c r="I66" s="19"/>
      <c r="J66" s="19"/>
      <c r="K66" s="19"/>
      <c r="L66" s="19"/>
      <c r="M66" s="19"/>
      <c r="N66" s="19"/>
    </row>
    <row r="67" spans="1:14" x14ac:dyDescent="0.25">
      <c r="A67" s="13"/>
      <c r="B67" s="333" t="s">
        <v>64</v>
      </c>
      <c r="C67" s="372" t="s">
        <v>536</v>
      </c>
      <c r="D67" s="336" t="s">
        <v>333</v>
      </c>
      <c r="E67" s="336" t="s">
        <v>294</v>
      </c>
      <c r="F67" s="327" t="s">
        <v>68</v>
      </c>
      <c r="G67" s="328"/>
      <c r="H67" s="329"/>
      <c r="I67" s="330" t="s">
        <v>69</v>
      </c>
      <c r="J67" s="330"/>
      <c r="K67" s="330"/>
      <c r="L67" s="330" t="s">
        <v>70</v>
      </c>
      <c r="M67" s="330"/>
      <c r="N67" s="330"/>
    </row>
    <row r="68" spans="1:14" ht="38.25" x14ac:dyDescent="0.25">
      <c r="A68" s="4"/>
      <c r="B68" s="333"/>
      <c r="C68" s="335"/>
      <c r="D68" s="337"/>
      <c r="E68" s="337"/>
      <c r="F68" s="21" t="s">
        <v>71</v>
      </c>
      <c r="G68" s="21" t="s">
        <v>72</v>
      </c>
      <c r="H68" s="21" t="s">
        <v>73</v>
      </c>
      <c r="I68" s="21" t="s">
        <v>74</v>
      </c>
      <c r="J68" s="21" t="s">
        <v>72</v>
      </c>
      <c r="K68" s="21" t="s">
        <v>73</v>
      </c>
      <c r="L68" s="21" t="s">
        <v>74</v>
      </c>
      <c r="M68" s="21" t="s">
        <v>72</v>
      </c>
      <c r="N68" s="21" t="s">
        <v>73</v>
      </c>
    </row>
    <row r="69" spans="1:14" x14ac:dyDescent="0.25">
      <c r="A69" s="4"/>
      <c r="B69" s="21" t="s">
        <v>165</v>
      </c>
      <c r="C69" s="53">
        <v>75</v>
      </c>
      <c r="D69" s="119">
        <v>74.900000000000006</v>
      </c>
      <c r="E69" s="54">
        <v>73.900000000000006</v>
      </c>
      <c r="F69" s="54">
        <v>67</v>
      </c>
      <c r="G69" s="54">
        <v>87</v>
      </c>
      <c r="H69" s="53">
        <v>55</v>
      </c>
      <c r="I69" s="53">
        <v>56.4</v>
      </c>
      <c r="J69" s="53">
        <v>72.8</v>
      </c>
      <c r="K69" s="53">
        <v>47</v>
      </c>
      <c r="L69" s="53" t="s">
        <v>48</v>
      </c>
      <c r="M69" s="53" t="s">
        <v>48</v>
      </c>
      <c r="N69" s="53" t="s">
        <v>48</v>
      </c>
    </row>
    <row r="70" spans="1:14" ht="25.5" x14ac:dyDescent="0.25">
      <c r="A70" s="4"/>
      <c r="B70" s="21" t="s">
        <v>166</v>
      </c>
      <c r="C70" s="53">
        <v>9934.7999999999993</v>
      </c>
      <c r="D70" s="120">
        <v>9988.75</v>
      </c>
      <c r="E70" s="53">
        <v>10166.700000000001</v>
      </c>
      <c r="F70" s="54">
        <v>10211.799999999999</v>
      </c>
      <c r="G70" s="54">
        <v>11171.55</v>
      </c>
      <c r="H70" s="54">
        <v>9075.15</v>
      </c>
      <c r="I70" s="53">
        <v>11623.9</v>
      </c>
      <c r="J70" s="53">
        <v>11760.2</v>
      </c>
      <c r="K70" s="53">
        <v>10004.549999999999</v>
      </c>
      <c r="L70" s="53" t="s">
        <v>48</v>
      </c>
      <c r="M70" s="53" t="s">
        <v>48</v>
      </c>
      <c r="N70" s="53" t="s">
        <v>48</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121"/>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3"/>
      <c r="E78" s="19"/>
      <c r="F78" s="19"/>
      <c r="G78" s="19"/>
      <c r="H78" s="19"/>
      <c r="I78" s="19"/>
      <c r="J78" s="19"/>
      <c r="K78" s="19"/>
      <c r="L78" s="19"/>
      <c r="M78" s="19"/>
      <c r="N78" s="19"/>
    </row>
    <row r="79" spans="1:14" ht="102" x14ac:dyDescent="0.25">
      <c r="A79" s="4"/>
      <c r="B79" s="59" t="s">
        <v>84</v>
      </c>
      <c r="C79" s="22" t="s">
        <v>85</v>
      </c>
      <c r="D79" s="22" t="s">
        <v>86</v>
      </c>
      <c r="E79" s="22" t="s">
        <v>280</v>
      </c>
      <c r="F79" s="22" t="s">
        <v>88</v>
      </c>
      <c r="G79" s="22" t="s">
        <v>169</v>
      </c>
      <c r="H79" s="17"/>
      <c r="I79" s="17"/>
      <c r="J79" s="17"/>
      <c r="K79" s="17"/>
      <c r="L79" s="17"/>
      <c r="M79" s="17"/>
      <c r="N79" s="17"/>
    </row>
    <row r="80" spans="1:14" ht="15" x14ac:dyDescent="0.25">
      <c r="A80" s="4"/>
      <c r="B80" s="316" t="s">
        <v>90</v>
      </c>
      <c r="C80" s="5" t="s">
        <v>537</v>
      </c>
      <c r="D80" s="115">
        <v>11.41</v>
      </c>
      <c r="E80" s="61">
        <v>-0.69</v>
      </c>
      <c r="F80" s="201">
        <v>9.1999999999999993</v>
      </c>
      <c r="G80" s="412" t="s">
        <v>282</v>
      </c>
      <c r="H80" s="62"/>
      <c r="I80" s="62"/>
      <c r="J80" s="62"/>
      <c r="K80" s="62"/>
      <c r="L80" s="62"/>
      <c r="M80" s="62"/>
      <c r="N80" s="62"/>
    </row>
    <row r="81" spans="1:14" x14ac:dyDescent="0.25">
      <c r="A81" s="4"/>
      <c r="B81" s="316"/>
      <c r="C81" s="5" t="s">
        <v>92</v>
      </c>
      <c r="D81" s="63"/>
      <c r="E81" s="61"/>
      <c r="F81" s="201"/>
      <c r="G81" s="413"/>
      <c r="H81" s="62"/>
      <c r="I81" s="62"/>
      <c r="J81" s="62"/>
      <c r="K81" s="62"/>
      <c r="L81" s="62"/>
      <c r="M81" s="62"/>
      <c r="N81" s="62"/>
    </row>
    <row r="82" spans="1:14" ht="15" x14ac:dyDescent="0.25">
      <c r="A82" s="4"/>
      <c r="B82" s="316"/>
      <c r="C82" s="25" t="s">
        <v>538</v>
      </c>
      <c r="D82" s="60">
        <v>12.58</v>
      </c>
      <c r="E82" s="61">
        <v>4.66</v>
      </c>
      <c r="F82" s="201">
        <v>12.28</v>
      </c>
      <c r="G82" s="413"/>
      <c r="H82" s="62"/>
      <c r="I82" s="62"/>
      <c r="J82" s="62"/>
      <c r="K82" s="62"/>
      <c r="L82" s="62"/>
      <c r="M82" s="62"/>
      <c r="N82" s="62"/>
    </row>
    <row r="83" spans="1:14" ht="15" x14ac:dyDescent="0.25">
      <c r="A83" s="4"/>
      <c r="B83" s="316"/>
      <c r="C83" s="25" t="s">
        <v>539</v>
      </c>
      <c r="D83" s="60">
        <v>2.54</v>
      </c>
      <c r="E83" s="61">
        <v>-0.02</v>
      </c>
      <c r="F83" s="206" t="s">
        <v>126</v>
      </c>
      <c r="G83" s="413"/>
      <c r="H83" s="62"/>
      <c r="I83" s="62"/>
      <c r="J83" s="62"/>
      <c r="K83" s="62"/>
      <c r="L83" s="62"/>
      <c r="M83" s="62"/>
      <c r="N83" s="62"/>
    </row>
    <row r="84" spans="1:14" ht="15" x14ac:dyDescent="0.25">
      <c r="A84" s="4"/>
      <c r="B84" s="316"/>
      <c r="C84" s="25" t="s">
        <v>540</v>
      </c>
      <c r="D84" s="60">
        <v>0.83</v>
      </c>
      <c r="E84" s="61">
        <v>0.82</v>
      </c>
      <c r="F84" s="201">
        <v>2.5099999999999998</v>
      </c>
      <c r="G84" s="413"/>
      <c r="H84" s="62"/>
      <c r="I84" s="62"/>
      <c r="J84" s="62"/>
      <c r="K84" s="62"/>
      <c r="L84" s="62"/>
      <c r="M84" s="62"/>
      <c r="N84" s="62"/>
    </row>
    <row r="85" spans="1:14" x14ac:dyDescent="0.25">
      <c r="A85" s="4"/>
      <c r="B85" s="316"/>
      <c r="C85" s="25" t="s">
        <v>541</v>
      </c>
      <c r="D85" s="63">
        <v>8.09</v>
      </c>
      <c r="E85" s="61">
        <v>5.49</v>
      </c>
      <c r="F85" s="201">
        <v>5.62</v>
      </c>
      <c r="G85" s="413"/>
      <c r="H85" s="62"/>
      <c r="I85" s="62"/>
      <c r="J85" s="62"/>
      <c r="K85" s="62"/>
      <c r="L85" s="62"/>
      <c r="M85" s="62"/>
      <c r="N85" s="62"/>
    </row>
    <row r="86" spans="1:14" ht="15" x14ac:dyDescent="0.25">
      <c r="A86" s="4"/>
      <c r="B86" s="316"/>
      <c r="C86" s="25" t="s">
        <v>542</v>
      </c>
      <c r="D86" s="115">
        <v>0.93</v>
      </c>
      <c r="E86" s="61">
        <v>-1.01</v>
      </c>
      <c r="F86" s="201">
        <v>1.66</v>
      </c>
      <c r="G86" s="413"/>
      <c r="H86" s="62"/>
      <c r="I86" s="62"/>
      <c r="J86" s="62"/>
      <c r="K86" s="62"/>
      <c r="L86" s="62"/>
      <c r="M86" s="62"/>
      <c r="N86" s="62"/>
    </row>
    <row r="87" spans="1:14" x14ac:dyDescent="0.25">
      <c r="A87" s="4"/>
      <c r="B87" s="316"/>
      <c r="C87" s="25" t="s">
        <v>543</v>
      </c>
      <c r="D87" s="63">
        <v>22.12</v>
      </c>
      <c r="E87" s="61">
        <v>4.6399999999999997</v>
      </c>
      <c r="F87" s="201">
        <v>33.33</v>
      </c>
      <c r="G87" s="413"/>
      <c r="H87" s="62"/>
      <c r="I87" s="62"/>
      <c r="J87" s="62"/>
      <c r="K87" s="62"/>
      <c r="L87" s="62"/>
      <c r="M87" s="62"/>
      <c r="N87" s="62"/>
    </row>
    <row r="88" spans="1:14" x14ac:dyDescent="0.25">
      <c r="A88" s="4"/>
      <c r="B88" s="316"/>
      <c r="C88" s="5" t="s">
        <v>93</v>
      </c>
      <c r="D88" s="92"/>
      <c r="E88" s="61"/>
      <c r="F88" s="186">
        <f>SUM(F82:F87)/6</f>
        <v>9.2333333333333325</v>
      </c>
      <c r="G88" s="413"/>
      <c r="H88" s="62"/>
      <c r="I88" s="62"/>
      <c r="J88" s="62"/>
      <c r="K88" s="62"/>
      <c r="L88" s="62"/>
      <c r="M88" s="62"/>
      <c r="N88" s="62"/>
    </row>
    <row r="89" spans="1:14" x14ac:dyDescent="0.2">
      <c r="A89" s="4"/>
      <c r="B89" s="316" t="s">
        <v>94</v>
      </c>
      <c r="C89" s="5" t="s">
        <v>537</v>
      </c>
      <c r="D89" s="93">
        <v>6.57</v>
      </c>
      <c r="E89" s="61"/>
      <c r="F89" s="202">
        <f>I69/F80</f>
        <v>6.1304347826086962</v>
      </c>
      <c r="G89" s="413"/>
      <c r="H89" s="62"/>
      <c r="I89" s="62"/>
      <c r="J89" s="62"/>
      <c r="K89" s="62"/>
      <c r="L89" s="62"/>
      <c r="M89" s="62"/>
      <c r="N89" s="62"/>
    </row>
    <row r="90" spans="1:14" x14ac:dyDescent="0.25">
      <c r="A90" s="4"/>
      <c r="B90" s="316"/>
      <c r="C90" s="5" t="s">
        <v>92</v>
      </c>
      <c r="D90" s="63"/>
      <c r="E90" s="61"/>
      <c r="F90" s="201"/>
      <c r="G90" s="413"/>
      <c r="H90" s="62"/>
      <c r="I90" s="62"/>
      <c r="J90" s="62"/>
      <c r="K90" s="62"/>
      <c r="L90" s="62"/>
      <c r="M90" s="62"/>
      <c r="N90" s="62"/>
    </row>
    <row r="91" spans="1:14" x14ac:dyDescent="0.25">
      <c r="A91" s="4"/>
      <c r="B91" s="316"/>
      <c r="C91" s="25" t="s">
        <v>538</v>
      </c>
      <c r="D91" s="63">
        <v>27.02</v>
      </c>
      <c r="E91" s="61">
        <v>-154.13</v>
      </c>
      <c r="F91" s="201"/>
      <c r="G91" s="413"/>
      <c r="H91" s="62"/>
      <c r="I91" s="62"/>
      <c r="J91" s="62"/>
      <c r="K91" s="62"/>
      <c r="L91" s="62"/>
      <c r="M91" s="62"/>
      <c r="N91" s="62"/>
    </row>
    <row r="92" spans="1:14" x14ac:dyDescent="0.25">
      <c r="A92" s="4"/>
      <c r="B92" s="316"/>
      <c r="C92" s="25" t="s">
        <v>539</v>
      </c>
      <c r="D92" s="63">
        <v>22.62</v>
      </c>
      <c r="E92" s="61">
        <v>-1345</v>
      </c>
      <c r="F92" s="206" t="s">
        <v>126</v>
      </c>
      <c r="G92" s="413"/>
      <c r="H92" s="62"/>
      <c r="I92" s="62"/>
      <c r="J92" s="62"/>
      <c r="K92" s="62"/>
      <c r="L92" s="62"/>
      <c r="M92" s="62"/>
      <c r="N92" s="62"/>
    </row>
    <row r="93" spans="1:14" x14ac:dyDescent="0.25">
      <c r="A93" s="4"/>
      <c r="B93" s="316"/>
      <c r="C93" s="25" t="s">
        <v>540</v>
      </c>
      <c r="D93" s="63">
        <v>37.799999999999997</v>
      </c>
      <c r="E93" s="61">
        <v>33.53</v>
      </c>
      <c r="F93" s="207">
        <f>22/F84</f>
        <v>8.7649402390438258</v>
      </c>
      <c r="G93" s="413"/>
      <c r="H93" s="62"/>
      <c r="I93" s="62"/>
      <c r="J93" s="62"/>
      <c r="K93" s="62"/>
      <c r="L93" s="62"/>
      <c r="M93" s="62"/>
      <c r="N93" s="62"/>
    </row>
    <row r="94" spans="1:14" x14ac:dyDescent="0.25">
      <c r="A94" s="4"/>
      <c r="B94" s="316"/>
      <c r="C94" s="25" t="s">
        <v>541</v>
      </c>
      <c r="D94" s="63">
        <v>12.63</v>
      </c>
      <c r="E94" s="61">
        <v>15.13</v>
      </c>
      <c r="F94" s="207">
        <f>78.65/F85</f>
        <v>13.994661921708186</v>
      </c>
      <c r="G94" s="413"/>
      <c r="H94" s="62"/>
      <c r="I94" s="62"/>
      <c r="J94" s="62"/>
      <c r="K94" s="62"/>
      <c r="L94" s="62"/>
      <c r="M94" s="62"/>
      <c r="N94" s="62"/>
    </row>
    <row r="95" spans="1:14" x14ac:dyDescent="0.25">
      <c r="A95" s="4"/>
      <c r="B95" s="316"/>
      <c r="C95" s="25" t="s">
        <v>542</v>
      </c>
      <c r="D95" s="63">
        <v>46.09</v>
      </c>
      <c r="E95" s="61">
        <v>-29.85</v>
      </c>
      <c r="F95" s="207">
        <f>23.6/F86</f>
        <v>14.216867469879519</v>
      </c>
      <c r="G95" s="413"/>
      <c r="H95" s="62"/>
      <c r="I95" s="62"/>
      <c r="J95" s="62"/>
      <c r="K95" s="62"/>
      <c r="L95" s="62"/>
      <c r="M95" s="62"/>
      <c r="N95" s="62"/>
    </row>
    <row r="96" spans="1:14" x14ac:dyDescent="0.25">
      <c r="A96" s="4"/>
      <c r="B96" s="316"/>
      <c r="C96" s="25" t="s">
        <v>543</v>
      </c>
      <c r="D96" s="63">
        <v>6.24</v>
      </c>
      <c r="E96" s="61">
        <v>217.18</v>
      </c>
      <c r="F96" s="207">
        <f>138.95/F87</f>
        <v>4.168916891689169</v>
      </c>
      <c r="G96" s="413"/>
      <c r="H96" s="62"/>
      <c r="I96" s="62"/>
      <c r="J96" s="62"/>
      <c r="K96" s="62"/>
      <c r="L96" s="62"/>
      <c r="M96" s="62"/>
      <c r="N96" s="62"/>
    </row>
    <row r="97" spans="1:14" x14ac:dyDescent="0.25">
      <c r="A97" s="4"/>
      <c r="B97" s="316"/>
      <c r="C97" s="5" t="s">
        <v>93</v>
      </c>
      <c r="D97" s="92"/>
      <c r="E97" s="61"/>
      <c r="F97" s="186">
        <f>SUM(F91:F96)/6</f>
        <v>6.8575644203867832</v>
      </c>
      <c r="G97" s="413"/>
      <c r="H97" s="62"/>
      <c r="I97" s="62"/>
      <c r="J97" s="62"/>
      <c r="K97" s="62"/>
      <c r="L97" s="62"/>
      <c r="M97" s="62"/>
      <c r="N97" s="62"/>
    </row>
    <row r="98" spans="1:14" x14ac:dyDescent="0.2">
      <c r="A98" s="4"/>
      <c r="B98" s="316" t="s">
        <v>95</v>
      </c>
      <c r="C98" s="5" t="s">
        <v>537</v>
      </c>
      <c r="D98" s="91">
        <v>22.71</v>
      </c>
      <c r="E98" s="64">
        <f>-63.63/5209.39*100</f>
        <v>-1.221448192590687</v>
      </c>
      <c r="F98" s="202">
        <f>946.18/6893.07*100</f>
        <v>13.726539843640062</v>
      </c>
      <c r="G98" s="413"/>
      <c r="H98" s="62"/>
      <c r="I98" s="62"/>
      <c r="J98" s="62"/>
      <c r="K98" s="62"/>
      <c r="L98" s="62"/>
      <c r="M98" s="62"/>
      <c r="N98" s="62"/>
    </row>
    <row r="99" spans="1:14" x14ac:dyDescent="0.25">
      <c r="A99" s="4"/>
      <c r="B99" s="316"/>
      <c r="C99" s="5" t="s">
        <v>92</v>
      </c>
      <c r="D99" s="63"/>
      <c r="E99" s="61"/>
      <c r="F99" s="201"/>
      <c r="G99" s="413"/>
      <c r="H99" s="62"/>
      <c r="I99" s="62"/>
      <c r="J99" s="62"/>
      <c r="K99" s="62"/>
      <c r="L99" s="62"/>
      <c r="M99" s="62"/>
      <c r="N99" s="62"/>
    </row>
    <row r="100" spans="1:14" x14ac:dyDescent="0.25">
      <c r="A100" s="4"/>
      <c r="B100" s="316"/>
      <c r="C100" s="25" t="s">
        <v>538</v>
      </c>
      <c r="D100" s="63">
        <v>6.87</v>
      </c>
      <c r="E100" s="81" t="s">
        <v>126</v>
      </c>
      <c r="F100" s="202">
        <f>1934.09/30909.43*100</f>
        <v>6.2572813539427941</v>
      </c>
      <c r="G100" s="413"/>
      <c r="H100" s="62"/>
      <c r="I100" s="62"/>
      <c r="J100" s="62"/>
      <c r="K100" s="62"/>
      <c r="L100" s="62"/>
      <c r="M100" s="62"/>
      <c r="N100" s="62"/>
    </row>
    <row r="101" spans="1:14" x14ac:dyDescent="0.25">
      <c r="A101" s="4"/>
      <c r="B101" s="316"/>
      <c r="C101" s="25" t="s">
        <v>539</v>
      </c>
      <c r="D101" s="123">
        <v>11.26</v>
      </c>
      <c r="E101" s="81" t="s">
        <v>126</v>
      </c>
      <c r="F101" s="206" t="s">
        <v>126</v>
      </c>
      <c r="G101" s="413"/>
      <c r="H101" s="62"/>
      <c r="I101" s="62"/>
      <c r="J101" s="62"/>
      <c r="K101" s="62"/>
      <c r="L101" s="62"/>
      <c r="M101" s="62"/>
      <c r="N101" s="62"/>
    </row>
    <row r="102" spans="1:14" x14ac:dyDescent="0.25">
      <c r="A102" s="4"/>
      <c r="B102" s="316"/>
      <c r="C102" s="25" t="s">
        <v>540</v>
      </c>
      <c r="D102" s="123">
        <v>1.01</v>
      </c>
      <c r="E102" s="204">
        <f>0.009*100</f>
        <v>0.89999999999999991</v>
      </c>
      <c r="F102" s="207">
        <f>313.15/11221.07*100</f>
        <v>2.790732078135151</v>
      </c>
      <c r="G102" s="413"/>
      <c r="H102" s="62"/>
      <c r="I102" s="62"/>
      <c r="J102" s="62"/>
      <c r="K102" s="62"/>
      <c r="L102" s="62"/>
      <c r="M102" s="62"/>
      <c r="N102" s="62"/>
    </row>
    <row r="103" spans="1:14" x14ac:dyDescent="0.25">
      <c r="A103" s="4"/>
      <c r="B103" s="316"/>
      <c r="C103" s="25" t="s">
        <v>541</v>
      </c>
      <c r="D103" s="63">
        <v>6.19</v>
      </c>
      <c r="E103" s="204">
        <f>0.0402*100</f>
        <v>4.0199999999999996</v>
      </c>
      <c r="F103" s="207">
        <f>456.87/11249.6*100</f>
        <v>4.061211065282321</v>
      </c>
      <c r="G103" s="413"/>
      <c r="H103" s="62"/>
      <c r="I103" s="62"/>
      <c r="J103" s="62"/>
      <c r="K103" s="62"/>
      <c r="L103" s="62"/>
      <c r="M103" s="62"/>
      <c r="N103" s="62"/>
    </row>
    <row r="104" spans="1:14" x14ac:dyDescent="0.25">
      <c r="A104" s="4"/>
      <c r="B104" s="316"/>
      <c r="C104" s="25" t="s">
        <v>542</v>
      </c>
      <c r="D104" s="123">
        <v>3.08</v>
      </c>
      <c r="E104" s="81" t="s">
        <v>126</v>
      </c>
      <c r="F104" s="207">
        <f>413.13/8224.26*100</f>
        <v>5.0233090879908948</v>
      </c>
      <c r="G104" s="413"/>
      <c r="H104" s="62"/>
      <c r="I104" s="62"/>
      <c r="J104" s="62"/>
      <c r="K104" s="62"/>
      <c r="L104" s="62"/>
      <c r="M104" s="62"/>
      <c r="N104" s="62"/>
    </row>
    <row r="105" spans="1:14" x14ac:dyDescent="0.25">
      <c r="A105" s="4"/>
      <c r="B105" s="316"/>
      <c r="C105" s="25" t="s">
        <v>543</v>
      </c>
      <c r="D105" s="123">
        <v>10.01</v>
      </c>
      <c r="E105" s="204">
        <f>0.0195*100</f>
        <v>1.95</v>
      </c>
      <c r="F105" s="207">
        <f>1423/11535*100</f>
        <v>12.336367576939749</v>
      </c>
      <c r="G105" s="413"/>
      <c r="H105" s="62"/>
      <c r="I105" s="62"/>
      <c r="J105" s="62"/>
      <c r="K105" s="62"/>
      <c r="L105" s="62"/>
      <c r="M105" s="62"/>
      <c r="N105" s="62"/>
    </row>
    <row r="106" spans="1:14" x14ac:dyDescent="0.25">
      <c r="A106" s="4"/>
      <c r="B106" s="316"/>
      <c r="C106" s="5" t="s">
        <v>93</v>
      </c>
      <c r="D106" s="92"/>
      <c r="E106" s="61"/>
      <c r="F106" s="186">
        <f>SUM(F100:F105)/6</f>
        <v>5.0781501937151523</v>
      </c>
      <c r="G106" s="413"/>
      <c r="H106" s="62"/>
      <c r="I106" s="62"/>
      <c r="J106" s="62"/>
      <c r="K106" s="66"/>
      <c r="L106" s="62"/>
      <c r="M106" s="62"/>
      <c r="N106" s="62"/>
    </row>
    <row r="107" spans="1:14" x14ac:dyDescent="0.2">
      <c r="A107" s="4"/>
      <c r="B107" s="316" t="s">
        <v>96</v>
      </c>
      <c r="C107" s="5" t="s">
        <v>537</v>
      </c>
      <c r="D107" s="91">
        <v>50.27</v>
      </c>
      <c r="E107" s="64">
        <f>5209.39*100000/10284000</f>
        <v>50.655289770517314</v>
      </c>
      <c r="F107" s="202">
        <f>6893.07*100000/10284000</f>
        <v>67.027129521586929</v>
      </c>
      <c r="G107" s="413"/>
      <c r="H107" s="62"/>
      <c r="I107" s="62"/>
      <c r="J107" s="62"/>
      <c r="K107" s="62"/>
      <c r="L107" s="62"/>
      <c r="M107" s="62"/>
      <c r="N107" s="62"/>
    </row>
    <row r="108" spans="1:14" x14ac:dyDescent="0.25">
      <c r="A108" s="4"/>
      <c r="B108" s="316"/>
      <c r="C108" s="5" t="s">
        <v>92</v>
      </c>
      <c r="D108" s="63"/>
      <c r="E108" s="61"/>
      <c r="F108" s="201"/>
      <c r="G108" s="413"/>
      <c r="H108" s="62"/>
      <c r="I108" s="62"/>
      <c r="J108" s="62"/>
      <c r="K108" s="62"/>
      <c r="L108" s="62"/>
      <c r="M108" s="62"/>
      <c r="N108" s="62"/>
    </row>
    <row r="109" spans="1:14" x14ac:dyDescent="0.25">
      <c r="A109" s="4"/>
      <c r="B109" s="386"/>
      <c r="C109" s="25" t="s">
        <v>538</v>
      </c>
      <c r="D109" s="63">
        <v>183.28</v>
      </c>
      <c r="E109" s="61">
        <v>29288.51</v>
      </c>
      <c r="F109" s="202">
        <f>30909.43*100000/15754300</f>
        <v>196.19678436998151</v>
      </c>
      <c r="G109" s="413"/>
      <c r="H109" s="62"/>
      <c r="I109" s="62"/>
      <c r="J109" s="62"/>
      <c r="K109" s="62"/>
      <c r="L109" s="62"/>
      <c r="M109" s="62"/>
      <c r="N109" s="62"/>
    </row>
    <row r="110" spans="1:14" x14ac:dyDescent="0.25">
      <c r="A110" s="4"/>
      <c r="B110" s="386"/>
      <c r="C110" s="25" t="s">
        <v>539</v>
      </c>
      <c r="D110" s="63">
        <v>22.55</v>
      </c>
      <c r="E110" s="61">
        <v>17882</v>
      </c>
      <c r="F110" s="206" t="s">
        <v>126</v>
      </c>
      <c r="G110" s="413"/>
      <c r="H110" s="62"/>
      <c r="I110" s="62"/>
      <c r="J110" s="62"/>
      <c r="K110" s="62"/>
      <c r="L110" s="62"/>
      <c r="M110" s="62"/>
      <c r="N110" s="62"/>
    </row>
    <row r="111" spans="1:14" x14ac:dyDescent="0.25">
      <c r="A111" s="4"/>
      <c r="B111" s="386"/>
      <c r="C111" s="25" t="s">
        <v>540</v>
      </c>
      <c r="D111" s="63">
        <v>81.900000000000006</v>
      </c>
      <c r="E111" s="61">
        <v>11354.87</v>
      </c>
      <c r="F111" s="207">
        <f>11221.07*100000/6255000</f>
        <v>179.39360511590726</v>
      </c>
      <c r="G111" s="413"/>
      <c r="H111" s="62"/>
      <c r="I111" s="62"/>
      <c r="J111" s="62"/>
      <c r="K111" s="62"/>
      <c r="L111" s="62"/>
      <c r="M111" s="62"/>
      <c r="N111" s="62"/>
    </row>
    <row r="112" spans="1:14" x14ac:dyDescent="0.25">
      <c r="A112" s="4"/>
      <c r="B112" s="386"/>
      <c r="C112" s="25" t="s">
        <v>541</v>
      </c>
      <c r="D112" s="116">
        <v>130.69</v>
      </c>
      <c r="E112" s="61">
        <v>11098.07</v>
      </c>
      <c r="F112" s="207">
        <f>11249.6*100000/8129600</f>
        <v>138.37827199370201</v>
      </c>
      <c r="G112" s="413"/>
      <c r="H112" s="62"/>
      <c r="I112" s="62"/>
      <c r="J112" s="62"/>
      <c r="K112" s="62"/>
      <c r="L112" s="62"/>
      <c r="M112" s="62"/>
      <c r="N112" s="62"/>
    </row>
    <row r="113" spans="1:14" x14ac:dyDescent="0.25">
      <c r="A113" s="4"/>
      <c r="B113" s="386"/>
      <c r="C113" s="25" t="s">
        <v>542</v>
      </c>
      <c r="D113" s="63">
        <v>30.14</v>
      </c>
      <c r="E113" s="61">
        <v>7794.79</v>
      </c>
      <c r="F113" s="207">
        <f>8224.26*100000/249479000</f>
        <v>3.2965740603417522</v>
      </c>
      <c r="G113" s="413"/>
      <c r="H113" s="62"/>
      <c r="I113" s="62"/>
      <c r="J113" s="62"/>
      <c r="K113" s="62"/>
      <c r="L113" s="62"/>
      <c r="M113" s="62"/>
      <c r="N113" s="62"/>
    </row>
    <row r="114" spans="1:14" x14ac:dyDescent="0.25">
      <c r="A114" s="4"/>
      <c r="B114" s="386"/>
      <c r="C114" s="25" t="s">
        <v>543</v>
      </c>
      <c r="D114" s="63">
        <v>220.94</v>
      </c>
      <c r="E114" s="61">
        <f>10119*100000/42700000</f>
        <v>23.697892271662763</v>
      </c>
      <c r="F114" s="186">
        <f>SUM(F108:F113)/6</f>
        <v>86.210872589988753</v>
      </c>
      <c r="G114" s="413"/>
      <c r="H114" s="62"/>
      <c r="I114" s="62"/>
      <c r="J114" s="62"/>
      <c r="K114" s="62"/>
      <c r="L114" s="62"/>
      <c r="M114" s="62"/>
      <c r="N114" s="62"/>
    </row>
    <row r="115" spans="1:14" x14ac:dyDescent="0.25">
      <c r="A115" s="4"/>
      <c r="B115" s="386"/>
      <c r="C115" s="5" t="s">
        <v>93</v>
      </c>
      <c r="D115" s="92"/>
      <c r="E115" s="61"/>
      <c r="F115" s="201"/>
      <c r="G115" s="413"/>
      <c r="H115" s="62"/>
      <c r="I115" s="62"/>
      <c r="J115" s="62"/>
      <c r="K115" s="62"/>
      <c r="L115" s="62"/>
      <c r="M115" s="62"/>
      <c r="N115" s="62"/>
    </row>
    <row r="116" spans="1:14" s="57" customFormat="1" x14ac:dyDescent="0.25">
      <c r="B116" s="387"/>
      <c r="C116" s="388"/>
      <c r="D116" s="388"/>
      <c r="E116" s="388"/>
      <c r="F116" s="388"/>
      <c r="G116" s="389"/>
    </row>
    <row r="117" spans="1:14" x14ac:dyDescent="0.25">
      <c r="A117" s="4"/>
      <c r="B117" s="376" t="s">
        <v>544</v>
      </c>
      <c r="C117" s="377"/>
      <c r="D117" s="377"/>
      <c r="E117" s="377"/>
      <c r="F117" s="377"/>
      <c r="G117" s="378"/>
      <c r="H117" s="62"/>
      <c r="I117" s="62"/>
      <c r="J117" s="62"/>
      <c r="K117" s="62"/>
      <c r="L117" s="62"/>
      <c r="M117" s="62"/>
      <c r="N117" s="62"/>
    </row>
    <row r="118" spans="1:14" x14ac:dyDescent="0.25">
      <c r="A118" s="4"/>
      <c r="B118" s="379" t="s">
        <v>128</v>
      </c>
      <c r="C118" s="380"/>
      <c r="D118" s="380"/>
      <c r="E118" s="380"/>
      <c r="F118" s="380"/>
      <c r="G118" s="381"/>
      <c r="H118" s="62"/>
      <c r="I118" s="62"/>
      <c r="J118" s="62"/>
      <c r="K118" s="62"/>
      <c r="L118" s="62"/>
      <c r="M118" s="62"/>
      <c r="N118" s="62"/>
    </row>
    <row r="119" spans="1:14" x14ac:dyDescent="0.25">
      <c r="A119" s="4"/>
      <c r="B119" s="353"/>
      <c r="C119" s="354"/>
      <c r="D119" s="354"/>
      <c r="E119" s="354"/>
      <c r="F119" s="354"/>
      <c r="G119" s="355"/>
      <c r="H119" s="62"/>
      <c r="I119" s="62"/>
      <c r="J119" s="62"/>
      <c r="K119" s="62"/>
      <c r="L119" s="62"/>
      <c r="M119" s="62"/>
      <c r="N119" s="62"/>
    </row>
    <row r="120" spans="1:14" x14ac:dyDescent="0.25">
      <c r="A120" s="26"/>
      <c r="B120" s="12"/>
      <c r="C120" s="323"/>
      <c r="D120" s="323"/>
      <c r="E120" s="323"/>
      <c r="F120" s="323"/>
      <c r="G120" s="323"/>
      <c r="H120" s="62"/>
      <c r="I120" s="62"/>
      <c r="J120" s="26"/>
      <c r="K120" s="26"/>
      <c r="L120" s="26"/>
      <c r="M120" s="26"/>
      <c r="N120" s="26"/>
    </row>
    <row r="121" spans="1:14" x14ac:dyDescent="0.25">
      <c r="A121" s="13">
        <v>14</v>
      </c>
      <c r="B121" s="70" t="s">
        <v>99</v>
      </c>
      <c r="C121" s="324" t="s">
        <v>48</v>
      </c>
      <c r="D121" s="325"/>
      <c r="E121" s="325"/>
      <c r="F121" s="325"/>
      <c r="G121" s="326"/>
      <c r="H121" s="26"/>
      <c r="I121" s="26"/>
      <c r="J121" s="26"/>
      <c r="K121" s="26"/>
      <c r="L121" s="26"/>
      <c r="M121" s="26"/>
      <c r="N121" s="26"/>
    </row>
    <row r="122" spans="1:14" x14ac:dyDescent="0.25">
      <c r="A122" s="71"/>
      <c r="B122" s="26"/>
      <c r="C122" s="84"/>
      <c r="D122" s="124"/>
      <c r="E122" s="84"/>
      <c r="F122" s="84"/>
      <c r="G122" s="84"/>
      <c r="H122" s="26"/>
      <c r="I122" s="26"/>
      <c r="J122" s="26"/>
      <c r="K122" s="26"/>
      <c r="L122" s="26"/>
      <c r="M122" s="26"/>
      <c r="N122" s="26"/>
    </row>
    <row r="123" spans="1:14" x14ac:dyDescent="0.25">
      <c r="A123" s="26"/>
      <c r="B123" s="374" t="s">
        <v>525</v>
      </c>
      <c r="C123" s="375"/>
      <c r="D123" s="375"/>
      <c r="E123" s="375"/>
      <c r="F123" s="375"/>
      <c r="G123" s="375"/>
      <c r="H123" s="375"/>
      <c r="I123" s="26"/>
      <c r="J123" s="26"/>
      <c r="K123" s="26"/>
      <c r="L123" s="26"/>
      <c r="M123" s="26"/>
      <c r="N123" s="26"/>
    </row>
    <row r="124" spans="1:14" x14ac:dyDescent="0.25">
      <c r="A124" s="26"/>
      <c r="I124" s="26"/>
      <c r="J124" s="26"/>
      <c r="K124" s="26"/>
      <c r="L124" s="26"/>
      <c r="M124" s="26"/>
      <c r="N124" s="26"/>
    </row>
    <row r="125" spans="1:14" x14ac:dyDescent="0.25">
      <c r="A125" s="26"/>
      <c r="J125" s="26"/>
      <c r="K125" s="26"/>
      <c r="L125" s="26"/>
      <c r="M125" s="26"/>
      <c r="N125" s="26"/>
    </row>
  </sheetData>
  <sheetProtection password="E9DF"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8"/>
    <mergeCell ref="G80:G115"/>
    <mergeCell ref="B89:B97"/>
    <mergeCell ref="B98:B106"/>
    <mergeCell ref="B107:B115"/>
    <mergeCell ref="B123:H123"/>
    <mergeCell ref="B116:G116"/>
    <mergeCell ref="B117:G117"/>
    <mergeCell ref="B118:G118"/>
    <mergeCell ref="B119:G119"/>
    <mergeCell ref="C120:G120"/>
    <mergeCell ref="C121:G121"/>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topLeftCell="A43" workbookViewId="0">
      <selection activeCell="E50" sqref="E50"/>
    </sheetView>
  </sheetViews>
  <sheetFormatPr defaultColWidth="8.85546875" defaultRowHeight="12.75" x14ac:dyDescent="0.25"/>
  <cols>
    <col min="1" max="1" width="8.85546875" style="73"/>
    <col min="2" max="3" width="40.85546875" style="73" customWidth="1"/>
    <col min="4" max="4" width="27.4257812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545</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259</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546</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547</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30" customHeight="1"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548</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504</v>
      </c>
      <c r="C27" s="365"/>
      <c r="D27" s="365"/>
      <c r="E27" s="366"/>
      <c r="F27" s="19"/>
      <c r="G27" s="26"/>
      <c r="H27" s="26"/>
      <c r="I27" s="26"/>
      <c r="J27" s="26"/>
      <c r="K27" s="26"/>
      <c r="L27" s="26"/>
      <c r="M27" s="26"/>
      <c r="N27" s="26"/>
    </row>
    <row r="28" spans="1:14" x14ac:dyDescent="0.25">
      <c r="A28" s="13"/>
      <c r="B28" s="21" t="s">
        <v>24</v>
      </c>
      <c r="C28" s="205" t="s">
        <v>324</v>
      </c>
      <c r="D28" s="22" t="s">
        <v>26</v>
      </c>
      <c r="E28" s="205" t="s">
        <v>355</v>
      </c>
      <c r="F28" s="19"/>
      <c r="G28" s="26"/>
      <c r="H28" s="26"/>
      <c r="I28" s="26"/>
      <c r="J28" s="26"/>
      <c r="K28" s="26"/>
      <c r="L28" s="26"/>
      <c r="M28" s="26"/>
      <c r="N28" s="26"/>
    </row>
    <row r="29" spans="1:14" x14ac:dyDescent="0.25">
      <c r="A29" s="13"/>
      <c r="B29" s="23" t="s">
        <v>28</v>
      </c>
      <c r="C29" s="207">
        <v>13297.41</v>
      </c>
      <c r="D29" s="207">
        <f>1653857139/100000</f>
        <v>16538.571390000001</v>
      </c>
      <c r="E29" s="420" t="s">
        <v>265</v>
      </c>
      <c r="F29" s="19"/>
      <c r="G29" s="26"/>
      <c r="H29" s="26"/>
      <c r="I29" s="26"/>
      <c r="J29" s="26"/>
      <c r="K29" s="26"/>
      <c r="L29" s="26"/>
      <c r="M29" s="26"/>
      <c r="N29" s="26"/>
    </row>
    <row r="30" spans="1:14" x14ac:dyDescent="0.25">
      <c r="A30" s="13"/>
      <c r="B30" s="23" t="s">
        <v>29</v>
      </c>
      <c r="C30" s="207">
        <v>1551.24</v>
      </c>
      <c r="D30" s="207">
        <v>1703.82</v>
      </c>
      <c r="E30" s="421"/>
      <c r="F30" s="19"/>
      <c r="G30" s="26"/>
      <c r="H30" s="26"/>
      <c r="I30" s="26"/>
      <c r="J30" s="26"/>
      <c r="K30" s="26"/>
      <c r="L30" s="26"/>
      <c r="M30" s="26"/>
      <c r="N30" s="26"/>
    </row>
    <row r="31" spans="1:14" x14ac:dyDescent="0.25">
      <c r="A31" s="13"/>
      <c r="B31" s="23" t="s">
        <v>30</v>
      </c>
      <c r="C31" s="207">
        <v>2442.46</v>
      </c>
      <c r="D31" s="207">
        <v>2442.46</v>
      </c>
      <c r="E31" s="421"/>
      <c r="F31" s="19"/>
      <c r="G31" s="26"/>
      <c r="H31" s="26"/>
      <c r="I31" s="26"/>
      <c r="J31" s="26"/>
      <c r="K31" s="26"/>
      <c r="L31" s="26"/>
      <c r="M31" s="26"/>
      <c r="N31" s="26"/>
    </row>
    <row r="32" spans="1:14" x14ac:dyDescent="0.25">
      <c r="A32" s="13"/>
      <c r="B32" s="23" t="s">
        <v>31</v>
      </c>
      <c r="C32" s="207">
        <v>6558.7</v>
      </c>
      <c r="D32" s="207">
        <v>4854.8900000000003</v>
      </c>
      <c r="E32" s="422"/>
      <c r="F32" s="19"/>
      <c r="G32" s="26"/>
      <c r="H32" s="26"/>
      <c r="I32" s="26"/>
      <c r="J32" s="26"/>
      <c r="K32" s="26"/>
      <c r="L32" s="26"/>
      <c r="M32" s="26"/>
      <c r="N32" s="26"/>
    </row>
    <row r="33" spans="1:14" x14ac:dyDescent="0.25">
      <c r="A33" s="13"/>
      <c r="B33" s="353" t="s">
        <v>266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27.75" customHeight="1"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06" t="s">
        <v>245</v>
      </c>
      <c r="D37" s="17"/>
      <c r="E37" s="17"/>
      <c r="F37" s="17"/>
      <c r="G37" s="26"/>
      <c r="H37" s="26"/>
      <c r="I37" s="26"/>
      <c r="J37" s="26"/>
      <c r="K37" s="26"/>
      <c r="L37" s="26"/>
      <c r="M37" s="26"/>
      <c r="N37" s="26"/>
    </row>
    <row r="38" spans="1:14" x14ac:dyDescent="0.25">
      <c r="A38" s="13"/>
      <c r="B38" s="27" t="s">
        <v>37</v>
      </c>
      <c r="C38" s="105" t="s">
        <v>263</v>
      </c>
      <c r="D38" s="17"/>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ht="42.75" customHeight="1" x14ac:dyDescent="0.25">
      <c r="A44" s="13"/>
      <c r="B44" s="21" t="s">
        <v>36</v>
      </c>
      <c r="C44" s="350" t="s">
        <v>812</v>
      </c>
      <c r="D44" s="351"/>
      <c r="E44" s="352"/>
      <c r="F44" s="17"/>
      <c r="G44" s="26"/>
      <c r="H44" s="26"/>
      <c r="I44" s="26"/>
      <c r="J44" s="26"/>
      <c r="K44" s="26"/>
      <c r="L44" s="26"/>
      <c r="M44" s="26"/>
      <c r="N44" s="26"/>
    </row>
    <row r="45" spans="1:14" x14ac:dyDescent="0.25">
      <c r="A45" s="13"/>
      <c r="B45" s="21"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114.75" x14ac:dyDescent="0.25">
      <c r="A50" s="34"/>
      <c r="B50" s="94" t="s">
        <v>369</v>
      </c>
      <c r="C50" s="94" t="s">
        <v>549</v>
      </c>
      <c r="D50" s="133" t="s">
        <v>733</v>
      </c>
      <c r="E50" s="94" t="s">
        <v>734</v>
      </c>
      <c r="F50" s="26"/>
      <c r="G50" s="26"/>
      <c r="H50" s="26"/>
      <c r="I50" s="26"/>
      <c r="J50" s="26"/>
      <c r="K50" s="26"/>
      <c r="L50" s="26"/>
      <c r="M50" s="26"/>
    </row>
    <row r="51" spans="1:14" x14ac:dyDescent="0.25">
      <c r="A51" s="36"/>
      <c r="B51" s="345" t="s">
        <v>735</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ht="30" customHeight="1" x14ac:dyDescent="0.25">
      <c r="A53" s="29">
        <v>10</v>
      </c>
      <c r="B53" s="340" t="s">
        <v>41</v>
      </c>
      <c r="C53" s="333"/>
      <c r="D53" s="333"/>
      <c r="E53" s="333"/>
      <c r="F53" s="19"/>
      <c r="G53" s="19"/>
      <c r="H53" s="19"/>
      <c r="I53" s="26"/>
      <c r="J53" s="26"/>
      <c r="K53" s="26"/>
      <c r="L53" s="26"/>
      <c r="M53" s="26"/>
    </row>
    <row r="54" spans="1:14" ht="14.25" customHeight="1" x14ac:dyDescent="0.25">
      <c r="A54" s="34"/>
      <c r="B54" s="357" t="s">
        <v>50</v>
      </c>
      <c r="C54" s="394" t="s">
        <v>811</v>
      </c>
      <c r="D54" s="395"/>
      <c r="E54" s="396"/>
      <c r="F54" s="26"/>
      <c r="G54" s="26"/>
      <c r="H54" s="26"/>
      <c r="I54" s="26"/>
      <c r="J54" s="26"/>
      <c r="K54" s="2"/>
      <c r="L54" s="26"/>
      <c r="M54" s="26"/>
    </row>
    <row r="55" spans="1:14" ht="54" customHeight="1"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735</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51"/>
      <c r="F64" s="51"/>
      <c r="G64" s="15"/>
      <c r="H64" s="15"/>
      <c r="I64" s="15"/>
      <c r="J64" s="15"/>
      <c r="K64" s="15"/>
      <c r="L64" s="15"/>
      <c r="M64" s="15"/>
      <c r="N64" s="15"/>
    </row>
    <row r="65" spans="1:14" x14ac:dyDescent="0.25">
      <c r="A65" s="13"/>
      <c r="B65" s="21" t="s">
        <v>62</v>
      </c>
      <c r="C65" s="23" t="s">
        <v>550</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551</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1" t="s">
        <v>74</v>
      </c>
      <c r="M68" s="21" t="s">
        <v>72</v>
      </c>
      <c r="N68" s="21" t="s">
        <v>73</v>
      </c>
    </row>
    <row r="69" spans="1:14" x14ac:dyDescent="0.25">
      <c r="A69" s="4"/>
      <c r="B69" s="21" t="s">
        <v>75</v>
      </c>
      <c r="C69" s="53">
        <v>49.02</v>
      </c>
      <c r="D69" s="54">
        <v>61.02</v>
      </c>
      <c r="E69" s="54">
        <v>91</v>
      </c>
      <c r="F69" s="54">
        <v>103.7</v>
      </c>
      <c r="G69" s="54">
        <v>116</v>
      </c>
      <c r="H69" s="53">
        <v>43</v>
      </c>
      <c r="I69" s="53">
        <v>76</v>
      </c>
      <c r="J69" s="53">
        <v>116.5</v>
      </c>
      <c r="K69" s="53">
        <v>70.599999999999994</v>
      </c>
      <c r="L69" s="53" t="s">
        <v>48</v>
      </c>
      <c r="M69" s="53" t="s">
        <v>48</v>
      </c>
      <c r="N69" s="53" t="s">
        <v>48</v>
      </c>
    </row>
    <row r="70" spans="1:14" ht="25.5" x14ac:dyDescent="0.2">
      <c r="A70" s="4"/>
      <c r="B70" s="21" t="s">
        <v>491</v>
      </c>
      <c r="C70" s="53">
        <v>31592.03</v>
      </c>
      <c r="D70" s="53">
        <v>33731.19</v>
      </c>
      <c r="E70" s="53">
        <v>33793.379999999997</v>
      </c>
      <c r="F70" s="54">
        <v>32968.68</v>
      </c>
      <c r="G70" s="54">
        <v>36443.980000000003</v>
      </c>
      <c r="H70" s="56">
        <v>29241.48</v>
      </c>
      <c r="I70" s="53">
        <v>38672.910000000003</v>
      </c>
      <c r="J70" s="53">
        <v>38989.65</v>
      </c>
      <c r="K70" s="53">
        <v>32972.559999999998</v>
      </c>
      <c r="L70" s="53" t="s">
        <v>48</v>
      </c>
      <c r="M70" s="53" t="s">
        <v>48</v>
      </c>
      <c r="N70" s="53" t="s">
        <v>48</v>
      </c>
    </row>
    <row r="71" spans="1:14" ht="13.5" x14ac:dyDescent="0.25">
      <c r="A71" s="4"/>
      <c r="B71" s="383" t="s">
        <v>21</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51" x14ac:dyDescent="0.25">
      <c r="A79" s="4"/>
      <c r="B79" s="59" t="s">
        <v>84</v>
      </c>
      <c r="C79" s="22" t="s">
        <v>85</v>
      </c>
      <c r="D79" s="22" t="s">
        <v>86</v>
      </c>
      <c r="E79" s="22" t="s">
        <v>280</v>
      </c>
      <c r="F79" s="22" t="s">
        <v>88</v>
      </c>
      <c r="G79" s="22" t="s">
        <v>169</v>
      </c>
      <c r="H79" s="17"/>
      <c r="I79" s="17"/>
      <c r="J79" s="17"/>
      <c r="K79" s="17"/>
      <c r="L79" s="17"/>
      <c r="M79" s="17"/>
      <c r="N79" s="17"/>
    </row>
    <row r="80" spans="1:14" ht="15" x14ac:dyDescent="0.25">
      <c r="A80" s="4"/>
      <c r="B80" s="316" t="s">
        <v>90</v>
      </c>
      <c r="C80" s="5" t="s">
        <v>552</v>
      </c>
      <c r="D80" s="115" t="s">
        <v>553</v>
      </c>
      <c r="E80" s="80">
        <v>7.23</v>
      </c>
      <c r="F80" s="25">
        <v>6.98</v>
      </c>
      <c r="G80" s="412" t="s">
        <v>282</v>
      </c>
      <c r="H80" s="62"/>
      <c r="I80" s="62"/>
      <c r="J80" s="62"/>
      <c r="K80" s="62"/>
      <c r="L80" s="62"/>
      <c r="M80" s="62"/>
      <c r="N80" s="62"/>
    </row>
    <row r="81" spans="1:14" x14ac:dyDescent="0.25">
      <c r="A81" s="4"/>
      <c r="B81" s="316"/>
      <c r="C81" s="5" t="s">
        <v>92</v>
      </c>
      <c r="D81" s="63"/>
      <c r="E81" s="80"/>
      <c r="F81" s="25"/>
      <c r="G81" s="413"/>
      <c r="H81" s="62"/>
      <c r="I81" s="62"/>
      <c r="J81" s="62"/>
      <c r="K81" s="62"/>
      <c r="L81" s="62"/>
      <c r="M81" s="62"/>
      <c r="N81" s="62"/>
    </row>
    <row r="82" spans="1:14" x14ac:dyDescent="0.25">
      <c r="A82" s="4"/>
      <c r="B82" s="316"/>
      <c r="C82" s="25" t="s">
        <v>554</v>
      </c>
      <c r="D82" s="63">
        <v>1.31</v>
      </c>
      <c r="E82" s="80">
        <v>1.7</v>
      </c>
      <c r="F82" s="25">
        <v>1.78</v>
      </c>
      <c r="G82" s="413"/>
      <c r="H82" s="62"/>
      <c r="I82" s="62"/>
      <c r="J82" s="62"/>
      <c r="K82" s="62"/>
      <c r="L82" s="62"/>
      <c r="M82" s="62"/>
      <c r="N82" s="62"/>
    </row>
    <row r="83" spans="1:14" ht="15" x14ac:dyDescent="0.25">
      <c r="A83" s="4"/>
      <c r="B83" s="316"/>
      <c r="C83" s="25" t="s">
        <v>555</v>
      </c>
      <c r="D83" s="115">
        <v>4.99</v>
      </c>
      <c r="E83" s="80">
        <v>7.32</v>
      </c>
      <c r="F83" s="25">
        <v>2.59</v>
      </c>
      <c r="G83" s="413"/>
      <c r="H83" s="62"/>
      <c r="I83" s="62"/>
      <c r="J83" s="62"/>
      <c r="K83" s="62"/>
      <c r="L83" s="62"/>
      <c r="M83" s="62"/>
      <c r="N83" s="62"/>
    </row>
    <row r="84" spans="1:14" ht="25.5" x14ac:dyDescent="0.25">
      <c r="A84" s="4"/>
      <c r="B84" s="316"/>
      <c r="C84" s="25" t="s">
        <v>556</v>
      </c>
      <c r="D84" s="63" t="s">
        <v>557</v>
      </c>
      <c r="E84" s="80">
        <v>1.64</v>
      </c>
      <c r="F84" s="25">
        <v>2.62</v>
      </c>
      <c r="G84" s="413"/>
      <c r="H84" s="62"/>
      <c r="I84" s="62"/>
      <c r="J84" s="62"/>
      <c r="K84" s="62"/>
      <c r="L84" s="62"/>
      <c r="M84" s="62"/>
      <c r="N84" s="62"/>
    </row>
    <row r="85" spans="1:14" x14ac:dyDescent="0.25">
      <c r="A85" s="4"/>
      <c r="B85" s="316"/>
      <c r="C85" s="25" t="s">
        <v>558</v>
      </c>
      <c r="D85" s="63">
        <v>25.14</v>
      </c>
      <c r="E85" s="80">
        <v>8.9600000000000009</v>
      </c>
      <c r="F85" s="25">
        <v>20.010000000000002</v>
      </c>
      <c r="G85" s="413"/>
      <c r="H85" s="62"/>
      <c r="I85" s="62"/>
      <c r="J85" s="62"/>
      <c r="K85" s="62"/>
      <c r="L85" s="62"/>
      <c r="M85" s="62"/>
      <c r="N85" s="62"/>
    </row>
    <row r="86" spans="1:14" x14ac:dyDescent="0.25">
      <c r="A86" s="4"/>
      <c r="B86" s="316"/>
      <c r="C86" s="5" t="s">
        <v>93</v>
      </c>
      <c r="D86" s="92"/>
      <c r="E86" s="80"/>
      <c r="F86" s="25"/>
      <c r="G86" s="413"/>
      <c r="H86" s="62"/>
      <c r="I86" s="62"/>
      <c r="J86" s="62"/>
      <c r="K86" s="62"/>
      <c r="L86" s="62"/>
      <c r="M86" s="62"/>
      <c r="N86" s="62"/>
    </row>
    <row r="87" spans="1:14" x14ac:dyDescent="0.2">
      <c r="A87" s="4"/>
      <c r="B87" s="316" t="s">
        <v>94</v>
      </c>
      <c r="C87" s="5" t="s">
        <v>552</v>
      </c>
      <c r="D87" s="93">
        <v>9.4440000000000008</v>
      </c>
      <c r="E87" s="85">
        <f>F69/E80</f>
        <v>14.343015214384508</v>
      </c>
      <c r="F87" s="154">
        <f>I69/F80</f>
        <v>10.888252148997134</v>
      </c>
      <c r="G87" s="413"/>
      <c r="H87" s="62"/>
      <c r="I87" s="62"/>
      <c r="J87" s="62"/>
      <c r="K87" s="62"/>
      <c r="L87" s="62"/>
      <c r="M87" s="62"/>
      <c r="N87" s="62"/>
    </row>
    <row r="88" spans="1:14" x14ac:dyDescent="0.25">
      <c r="A88" s="4"/>
      <c r="B88" s="316"/>
      <c r="C88" s="5" t="s">
        <v>92</v>
      </c>
      <c r="D88" s="63"/>
      <c r="E88" s="80"/>
      <c r="F88" s="25"/>
      <c r="G88" s="413"/>
      <c r="H88" s="62"/>
      <c r="I88" s="62"/>
      <c r="J88" s="62"/>
      <c r="K88" s="62"/>
      <c r="L88" s="62"/>
      <c r="M88" s="62"/>
      <c r="N88" s="62"/>
    </row>
    <row r="89" spans="1:14" x14ac:dyDescent="0.25">
      <c r="A89" s="4"/>
      <c r="B89" s="316"/>
      <c r="C89" s="25" t="s">
        <v>554</v>
      </c>
      <c r="D89" s="63">
        <v>74.430000000000007</v>
      </c>
      <c r="E89" s="85">
        <f>50.2/E82</f>
        <v>29.529411764705884</v>
      </c>
      <c r="F89" s="154">
        <f>46.65/F82</f>
        <v>26.207865168539325</v>
      </c>
      <c r="G89" s="413"/>
      <c r="H89" s="62"/>
      <c r="I89" s="62"/>
      <c r="J89" s="62"/>
      <c r="K89" s="62"/>
      <c r="L89" s="62"/>
      <c r="M89" s="62"/>
      <c r="N89" s="62"/>
    </row>
    <row r="90" spans="1:14" x14ac:dyDescent="0.25">
      <c r="A90" s="4"/>
      <c r="B90" s="316"/>
      <c r="C90" s="25" t="s">
        <v>555</v>
      </c>
      <c r="D90" s="63">
        <v>61.15</v>
      </c>
      <c r="E90" s="85">
        <f>147.6/E83</f>
        <v>20.163934426229506</v>
      </c>
      <c r="F90" s="154">
        <f>105/F83</f>
        <v>40.54054054054054</v>
      </c>
      <c r="G90" s="413"/>
      <c r="H90" s="62"/>
      <c r="I90" s="62"/>
      <c r="J90" s="62"/>
      <c r="K90" s="62"/>
      <c r="L90" s="62"/>
      <c r="M90" s="62"/>
      <c r="N90" s="62"/>
    </row>
    <row r="91" spans="1:14" x14ac:dyDescent="0.25">
      <c r="A91" s="4"/>
      <c r="B91" s="316"/>
      <c r="C91" s="25" t="s">
        <v>556</v>
      </c>
      <c r="D91" s="63">
        <v>34.869999999999997</v>
      </c>
      <c r="E91" s="85">
        <f>238.35/E84</f>
        <v>145.33536585365854</v>
      </c>
      <c r="F91" s="154">
        <f>197/F84</f>
        <v>75.190839694656489</v>
      </c>
      <c r="G91" s="413"/>
      <c r="H91" s="62"/>
      <c r="I91" s="62"/>
      <c r="J91" s="62"/>
      <c r="K91" s="62"/>
      <c r="L91" s="62"/>
      <c r="M91" s="62"/>
      <c r="N91" s="62"/>
    </row>
    <row r="92" spans="1:14" x14ac:dyDescent="0.25">
      <c r="A92" s="4"/>
      <c r="B92" s="316"/>
      <c r="C92" s="25" t="s">
        <v>558</v>
      </c>
      <c r="D92" s="63">
        <v>50.16</v>
      </c>
      <c r="E92" s="85">
        <f>1005.9/E85</f>
        <v>112.26562499999999</v>
      </c>
      <c r="F92" s="154">
        <f>600.1/F85</f>
        <v>29.990004997501249</v>
      </c>
      <c r="G92" s="413"/>
      <c r="H92" s="62"/>
      <c r="I92" s="62"/>
      <c r="J92" s="62"/>
      <c r="K92" s="62"/>
      <c r="L92" s="62"/>
      <c r="M92" s="62"/>
      <c r="N92" s="62"/>
    </row>
    <row r="93" spans="1:14" x14ac:dyDescent="0.25">
      <c r="A93" s="4"/>
      <c r="B93" s="316"/>
      <c r="C93" s="5" t="s">
        <v>93</v>
      </c>
      <c r="D93" s="92"/>
      <c r="E93" s="80"/>
      <c r="F93" s="25"/>
      <c r="G93" s="413"/>
      <c r="H93" s="62"/>
      <c r="I93" s="62"/>
      <c r="J93" s="62"/>
      <c r="K93" s="62"/>
      <c r="L93" s="62"/>
      <c r="M93" s="62"/>
      <c r="N93" s="62"/>
    </row>
    <row r="94" spans="1:14" x14ac:dyDescent="0.2">
      <c r="A94" s="4"/>
      <c r="B94" s="316" t="s">
        <v>95</v>
      </c>
      <c r="C94" s="5" t="s">
        <v>552</v>
      </c>
      <c r="D94" s="114">
        <v>0.24099999999999999</v>
      </c>
      <c r="E94" s="86">
        <f>155123626/729734478</f>
        <v>0.21257543761006178</v>
      </c>
      <c r="F94" s="154">
        <f>170381554/900116032*100</f>
        <v>18.928843387160114</v>
      </c>
      <c r="G94" s="413"/>
      <c r="H94" s="62"/>
      <c r="I94" s="62"/>
      <c r="J94" s="62"/>
      <c r="K94" s="62"/>
      <c r="L94" s="62"/>
      <c r="M94" s="62"/>
      <c r="N94" s="62"/>
    </row>
    <row r="95" spans="1:14" x14ac:dyDescent="0.25">
      <c r="A95" s="4"/>
      <c r="B95" s="316"/>
      <c r="C95" s="5" t="s">
        <v>92</v>
      </c>
      <c r="D95" s="63"/>
      <c r="E95" s="80"/>
      <c r="F95" s="25"/>
      <c r="G95" s="413"/>
      <c r="H95" s="62"/>
      <c r="I95" s="62"/>
      <c r="J95" s="62"/>
      <c r="K95" s="62"/>
      <c r="L95" s="62"/>
      <c r="M95" s="62"/>
      <c r="N95" s="62"/>
    </row>
    <row r="96" spans="1:14" x14ac:dyDescent="0.25">
      <c r="A96" s="4"/>
      <c r="B96" s="316"/>
      <c r="C96" s="25" t="s">
        <v>554</v>
      </c>
      <c r="D96" s="63">
        <v>0.25480000000000003</v>
      </c>
      <c r="E96" s="209">
        <f>956.59/5535.32*100</f>
        <v>17.281566377372943</v>
      </c>
      <c r="F96" s="154">
        <f>999.11/2147.81*100</f>
        <v>46.517615617768797</v>
      </c>
      <c r="G96" s="413"/>
      <c r="H96" s="62"/>
      <c r="I96" s="62"/>
      <c r="J96" s="62"/>
      <c r="K96" s="62"/>
      <c r="L96" s="62"/>
      <c r="M96" s="62"/>
      <c r="N96" s="62"/>
    </row>
    <row r="97" spans="1:14" x14ac:dyDescent="0.25">
      <c r="A97" s="4"/>
      <c r="B97" s="316"/>
      <c r="C97" s="25" t="s">
        <v>555</v>
      </c>
      <c r="D97" s="63">
        <v>9.4500000000000001E-2</v>
      </c>
      <c r="E97" s="209">
        <f>489.46/13399.97*100</f>
        <v>3.652694744838981</v>
      </c>
      <c r="F97" s="154">
        <f>636.64/13474.45*100</f>
        <v>4.7247939619056805</v>
      </c>
      <c r="G97" s="413"/>
      <c r="H97" s="62"/>
      <c r="I97" s="62"/>
      <c r="J97" s="62"/>
      <c r="K97" s="62"/>
      <c r="L97" s="62"/>
      <c r="M97" s="62"/>
      <c r="N97" s="62"/>
    </row>
    <row r="98" spans="1:14" x14ac:dyDescent="0.25">
      <c r="A98" s="4"/>
      <c r="B98" s="316"/>
      <c r="C98" s="25" t="s">
        <v>556</v>
      </c>
      <c r="D98" s="63">
        <v>0.13719999999999999</v>
      </c>
      <c r="E98" s="209">
        <f>142.66/3357.2*100</f>
        <v>4.2493744787322774</v>
      </c>
      <c r="F98" s="154">
        <f>246.32/7676.99*100</f>
        <v>3.2085491839900797</v>
      </c>
      <c r="G98" s="413"/>
      <c r="H98" s="62"/>
      <c r="I98" s="62"/>
      <c r="J98" s="62"/>
      <c r="K98" s="62"/>
      <c r="L98" s="62"/>
      <c r="M98" s="62"/>
      <c r="N98" s="62"/>
    </row>
    <row r="99" spans="1:14" x14ac:dyDescent="0.25">
      <c r="A99" s="4"/>
      <c r="B99" s="316"/>
      <c r="C99" s="25" t="s">
        <v>558</v>
      </c>
      <c r="D99" s="63">
        <v>0.2263</v>
      </c>
      <c r="E99" s="209">
        <f>12969/73384*100</f>
        <v>17.672789708928377</v>
      </c>
      <c r="F99" s="154">
        <f>29032/309423*100</f>
        <v>9.3826250795836117</v>
      </c>
      <c r="G99" s="413"/>
      <c r="H99" s="62"/>
      <c r="I99" s="62"/>
      <c r="J99" s="62"/>
      <c r="K99" s="62"/>
      <c r="L99" s="62"/>
      <c r="M99" s="62"/>
      <c r="N99" s="62"/>
    </row>
    <row r="100" spans="1:14" x14ac:dyDescent="0.25">
      <c r="A100" s="4"/>
      <c r="B100" s="316"/>
      <c r="C100" s="5" t="s">
        <v>93</v>
      </c>
      <c r="D100" s="92"/>
      <c r="E100" s="80"/>
      <c r="F100" s="25"/>
      <c r="G100" s="413"/>
      <c r="H100" s="62"/>
      <c r="I100" s="62"/>
      <c r="J100" s="62"/>
      <c r="K100" s="66"/>
      <c r="L100" s="62"/>
      <c r="M100" s="62"/>
      <c r="N100" s="62"/>
    </row>
    <row r="101" spans="1:14" x14ac:dyDescent="0.2">
      <c r="A101" s="4"/>
      <c r="B101" s="316" t="s">
        <v>96</v>
      </c>
      <c r="C101" s="5" t="s">
        <v>552</v>
      </c>
      <c r="D101" s="91">
        <v>18.100000000000001</v>
      </c>
      <c r="E101" s="85">
        <f>729734478/24424588</f>
        <v>29.877043494039693</v>
      </c>
      <c r="F101" s="154">
        <f>900116032/24424588</f>
        <v>36.852864498676496</v>
      </c>
      <c r="G101" s="413"/>
      <c r="H101" s="62"/>
      <c r="I101" s="62"/>
      <c r="J101" s="62"/>
      <c r="K101" s="62"/>
      <c r="L101" s="62"/>
      <c r="M101" s="62"/>
      <c r="N101" s="62"/>
    </row>
    <row r="102" spans="1:14" x14ac:dyDescent="0.25">
      <c r="A102" s="4"/>
      <c r="B102" s="316"/>
      <c r="C102" s="5" t="s">
        <v>92</v>
      </c>
      <c r="D102" s="63"/>
      <c r="E102" s="80"/>
      <c r="F102" s="25"/>
      <c r="G102" s="413"/>
      <c r="H102" s="62"/>
      <c r="I102" s="62"/>
      <c r="J102" s="62"/>
      <c r="K102" s="62"/>
      <c r="L102" s="62"/>
      <c r="M102" s="62"/>
      <c r="N102" s="62"/>
    </row>
    <row r="103" spans="1:14" x14ac:dyDescent="0.25">
      <c r="A103" s="4"/>
      <c r="B103" s="386"/>
      <c r="C103" s="25" t="s">
        <v>554</v>
      </c>
      <c r="D103" s="63">
        <v>6.08</v>
      </c>
      <c r="E103" s="85">
        <f>5535.32/561.22</f>
        <v>9.8630127222835959</v>
      </c>
      <c r="F103" s="154">
        <f>2147.81*100000/56301000</f>
        <v>3.814870073355713</v>
      </c>
      <c r="G103" s="413"/>
      <c r="H103" s="62"/>
      <c r="I103" s="62"/>
      <c r="J103" s="62"/>
      <c r="K103" s="62"/>
      <c r="L103" s="62"/>
      <c r="M103" s="62"/>
      <c r="N103" s="62"/>
    </row>
    <row r="104" spans="1:14" x14ac:dyDescent="0.25">
      <c r="A104" s="4"/>
      <c r="B104" s="386"/>
      <c r="C104" s="25" t="s">
        <v>555</v>
      </c>
      <c r="D104" s="63">
        <v>58.46</v>
      </c>
      <c r="E104" s="85">
        <f>13399.97/245.34</f>
        <v>54.617958751120888</v>
      </c>
      <c r="F104" s="154">
        <f>13474.45*100000/246190000</f>
        <v>5.4731914375076158</v>
      </c>
      <c r="G104" s="413"/>
      <c r="H104" s="62"/>
      <c r="I104" s="62"/>
      <c r="J104" s="62"/>
      <c r="K104" s="62"/>
      <c r="L104" s="62"/>
      <c r="M104" s="62"/>
      <c r="N104" s="62"/>
    </row>
    <row r="105" spans="1:14" x14ac:dyDescent="0.25">
      <c r="A105" s="4"/>
      <c r="B105" s="386"/>
      <c r="C105" s="25" t="s">
        <v>556</v>
      </c>
      <c r="D105" s="63">
        <v>52.98</v>
      </c>
      <c r="E105" s="85">
        <f>3357.2/91.55</f>
        <v>36.67067176406335</v>
      </c>
      <c r="F105" s="154">
        <f>7676.99*10000000/88780000</f>
        <v>864.72065780581215</v>
      </c>
      <c r="G105" s="413"/>
      <c r="H105" s="62"/>
      <c r="I105" s="62"/>
      <c r="J105" s="62"/>
      <c r="K105" s="62"/>
      <c r="L105" s="62"/>
      <c r="M105" s="62"/>
      <c r="N105" s="62"/>
    </row>
    <row r="106" spans="1:14" ht="13.5" customHeight="1" x14ac:dyDescent="0.25">
      <c r="A106" s="4"/>
      <c r="B106" s="386"/>
      <c r="C106" s="25" t="s">
        <v>558</v>
      </c>
      <c r="D106" s="63">
        <v>130.24</v>
      </c>
      <c r="E106" s="85">
        <f>73384/1451</f>
        <v>50.574776016540319</v>
      </c>
      <c r="F106" s="154">
        <f>309423*100000/14570000</f>
        <v>2123.6993822923814</v>
      </c>
      <c r="G106" s="413"/>
      <c r="H106" s="62"/>
      <c r="I106" s="62"/>
      <c r="J106" s="62"/>
      <c r="K106" s="62"/>
      <c r="L106" s="62"/>
      <c r="M106" s="62"/>
      <c r="N106" s="62"/>
    </row>
    <row r="107" spans="1:14" x14ac:dyDescent="0.25">
      <c r="A107" s="4"/>
      <c r="B107" s="386"/>
      <c r="C107" s="5" t="s">
        <v>93</v>
      </c>
      <c r="D107" s="92"/>
      <c r="E107" s="80"/>
      <c r="F107" s="25"/>
      <c r="G107" s="413"/>
      <c r="H107" s="62"/>
      <c r="I107" s="62"/>
      <c r="J107" s="62"/>
      <c r="K107" s="62"/>
      <c r="L107" s="62"/>
      <c r="M107" s="62"/>
      <c r="N107" s="62"/>
    </row>
    <row r="108" spans="1:14" s="57" customFormat="1" x14ac:dyDescent="0.25">
      <c r="B108" s="387"/>
      <c r="C108" s="388"/>
      <c r="D108" s="388"/>
      <c r="E108" s="388"/>
      <c r="F108" s="388"/>
      <c r="G108" s="389"/>
    </row>
    <row r="109" spans="1:14" x14ac:dyDescent="0.25">
      <c r="A109" s="4"/>
      <c r="B109" s="376" t="s">
        <v>559</v>
      </c>
      <c r="C109" s="377"/>
      <c r="D109" s="377"/>
      <c r="E109" s="377"/>
      <c r="F109" s="377"/>
      <c r="G109" s="378"/>
      <c r="H109" s="62"/>
      <c r="I109" s="62"/>
      <c r="J109" s="62"/>
      <c r="K109" s="62"/>
      <c r="L109" s="62"/>
      <c r="M109" s="62"/>
      <c r="N109" s="62"/>
    </row>
    <row r="110" spans="1:14" x14ac:dyDescent="0.25">
      <c r="A110" s="4"/>
      <c r="B110" s="379" t="s">
        <v>128</v>
      </c>
      <c r="C110" s="380"/>
      <c r="D110" s="380"/>
      <c r="E110" s="380"/>
      <c r="F110" s="380"/>
      <c r="G110" s="381"/>
      <c r="H110" s="62"/>
      <c r="I110" s="62"/>
      <c r="J110" s="62"/>
      <c r="K110" s="62"/>
      <c r="L110" s="62"/>
      <c r="M110" s="62"/>
      <c r="N110" s="62"/>
    </row>
    <row r="111" spans="1:14" x14ac:dyDescent="0.25">
      <c r="A111" s="4"/>
      <c r="B111" s="353"/>
      <c r="C111" s="354"/>
      <c r="D111" s="354"/>
      <c r="E111" s="354"/>
      <c r="F111" s="354"/>
      <c r="G111" s="355"/>
      <c r="H111" s="62"/>
      <c r="I111" s="62"/>
      <c r="J111" s="62"/>
      <c r="K111" s="62"/>
      <c r="L111" s="62"/>
      <c r="M111" s="62"/>
      <c r="N111" s="62"/>
    </row>
    <row r="112" spans="1:14" x14ac:dyDescent="0.25">
      <c r="A112" s="26"/>
      <c r="B112" s="12"/>
      <c r="C112" s="323"/>
      <c r="D112" s="323"/>
      <c r="E112" s="323"/>
      <c r="F112" s="323"/>
      <c r="G112" s="323"/>
      <c r="H112" s="62"/>
      <c r="I112" s="62"/>
      <c r="J112" s="26"/>
      <c r="K112" s="26"/>
      <c r="L112" s="26"/>
      <c r="M112" s="26"/>
      <c r="N112" s="26"/>
    </row>
    <row r="113" spans="1:14" x14ac:dyDescent="0.25">
      <c r="A113" s="13">
        <v>14</v>
      </c>
      <c r="B113" s="70" t="s">
        <v>99</v>
      </c>
      <c r="C113" s="324" t="s">
        <v>48</v>
      </c>
      <c r="D113" s="325"/>
      <c r="E113" s="325"/>
      <c r="F113" s="325"/>
      <c r="G113" s="326"/>
      <c r="H113" s="26"/>
      <c r="I113" s="26"/>
      <c r="J113" s="26"/>
      <c r="K113" s="26"/>
      <c r="L113" s="26"/>
      <c r="M113" s="26"/>
      <c r="N113" s="26"/>
    </row>
    <row r="114" spans="1:14" x14ac:dyDescent="0.25">
      <c r="A114" s="71"/>
      <c r="B114" s="26"/>
      <c r="C114" s="84"/>
      <c r="D114" s="84"/>
      <c r="E114" s="84"/>
      <c r="F114" s="84"/>
      <c r="G114" s="84"/>
      <c r="H114" s="26"/>
      <c r="I114" s="26"/>
      <c r="J114" s="26"/>
      <c r="K114" s="26"/>
      <c r="L114" s="26"/>
      <c r="M114" s="26"/>
      <c r="N114" s="26"/>
    </row>
    <row r="115" spans="1:14" x14ac:dyDescent="0.25">
      <c r="A115" s="26"/>
      <c r="B115" s="374" t="s">
        <v>560</v>
      </c>
      <c r="C115" s="375"/>
      <c r="D115" s="375"/>
      <c r="E115" s="375"/>
      <c r="F115" s="375"/>
      <c r="G115" s="375"/>
      <c r="H115" s="375"/>
      <c r="I115" s="26"/>
      <c r="J115" s="26"/>
      <c r="K115" s="26"/>
      <c r="L115" s="26"/>
      <c r="M115" s="26"/>
      <c r="N115" s="26"/>
    </row>
    <row r="116" spans="1:14" x14ac:dyDescent="0.25">
      <c r="A116" s="26"/>
      <c r="I116" s="26"/>
      <c r="J116" s="26"/>
      <c r="K116" s="26"/>
      <c r="L116" s="26"/>
      <c r="M116" s="26"/>
      <c r="N116" s="26"/>
    </row>
    <row r="117" spans="1:14" x14ac:dyDescent="0.25">
      <c r="A117" s="26"/>
      <c r="J117" s="26"/>
      <c r="K117" s="26"/>
      <c r="L117" s="26"/>
      <c r="M117" s="26"/>
      <c r="N117" s="26"/>
    </row>
  </sheetData>
  <sheetProtection password="E9DF"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6"/>
    <mergeCell ref="G80:G107"/>
    <mergeCell ref="B87:B93"/>
    <mergeCell ref="B94:B100"/>
    <mergeCell ref="B101:B107"/>
    <mergeCell ref="B115:H115"/>
    <mergeCell ref="B108:G108"/>
    <mergeCell ref="B109:G109"/>
    <mergeCell ref="B110:G110"/>
    <mergeCell ref="B111:G111"/>
    <mergeCell ref="C112:G112"/>
    <mergeCell ref="C113:G1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opLeftCell="A43" workbookViewId="0">
      <selection activeCell="B43" sqref="B43"/>
    </sheetView>
  </sheetViews>
  <sheetFormatPr defaultColWidth="8.85546875" defaultRowHeight="12.75" x14ac:dyDescent="0.25"/>
  <cols>
    <col min="1" max="1" width="8.85546875" style="73"/>
    <col min="2" max="2" width="40.85546875" style="73" customWidth="1"/>
    <col min="3" max="3" width="33.42578125" style="73" customWidth="1"/>
    <col min="4" max="4" width="18.42578125" style="116" customWidth="1"/>
    <col min="5" max="5" width="22.7109375" style="73" customWidth="1"/>
    <col min="6" max="6" width="16.7109375" style="73" bestFit="1" customWidth="1"/>
    <col min="7" max="7" width="17.42578125" style="73" bestFit="1" customWidth="1"/>
    <col min="8" max="16384" width="8.85546875" style="73"/>
  </cols>
  <sheetData>
    <row r="1" spans="1:25" ht="14.45" customHeight="1" x14ac:dyDescent="0.25">
      <c r="A1" s="369" t="s">
        <v>0</v>
      </c>
      <c r="B1" s="369"/>
      <c r="C1" s="26"/>
      <c r="D1" s="117"/>
      <c r="E1" s="26"/>
      <c r="F1" s="26"/>
      <c r="G1" s="26"/>
      <c r="H1" s="26"/>
      <c r="I1" s="26"/>
      <c r="J1" s="26"/>
      <c r="K1" s="26"/>
      <c r="L1" s="26"/>
      <c r="M1" s="26"/>
      <c r="N1" s="26"/>
    </row>
    <row r="2" spans="1:25" x14ac:dyDescent="0.25">
      <c r="A2" s="26"/>
      <c r="B2" s="26"/>
      <c r="C2" s="26"/>
      <c r="D2" s="71"/>
      <c r="E2" s="26"/>
      <c r="F2" s="26"/>
      <c r="G2" s="26"/>
      <c r="H2" s="26"/>
      <c r="I2" s="26"/>
      <c r="J2" s="26"/>
      <c r="K2" s="26"/>
      <c r="L2" s="26"/>
      <c r="M2" s="26"/>
      <c r="N2" s="26"/>
    </row>
    <row r="3" spans="1:25" ht="19.149999999999999" customHeight="1" x14ac:dyDescent="0.25">
      <c r="A3" s="4" t="s">
        <v>1</v>
      </c>
      <c r="B3" s="5" t="s">
        <v>2</v>
      </c>
      <c r="C3" s="6" t="s">
        <v>561</v>
      </c>
      <c r="D3" s="71"/>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562</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563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529</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6" t="s">
        <v>16</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9"/>
      <c r="E24" s="17"/>
      <c r="F24" s="19"/>
      <c r="G24" s="17"/>
      <c r="H24" s="17"/>
      <c r="I24" s="17"/>
      <c r="J24" s="17"/>
      <c r="K24" s="17"/>
      <c r="L24" s="17"/>
      <c r="M24" s="17"/>
      <c r="N24" s="17"/>
    </row>
    <row r="25" spans="1:14" x14ac:dyDescent="0.25">
      <c r="A25" s="13"/>
      <c r="B25" s="19"/>
      <c r="C25" s="19"/>
      <c r="D25" s="13"/>
      <c r="E25" s="19"/>
      <c r="F25" s="19"/>
      <c r="G25" s="17"/>
      <c r="H25" s="17"/>
      <c r="I25" s="17"/>
      <c r="J25" s="17"/>
      <c r="K25" s="17"/>
      <c r="L25" s="17"/>
      <c r="M25" s="17"/>
      <c r="N25" s="17"/>
    </row>
    <row r="26" spans="1:14" ht="28.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26</v>
      </c>
      <c r="E28" s="226" t="s">
        <v>355</v>
      </c>
      <c r="F28" s="19"/>
      <c r="G28" s="26"/>
      <c r="H28" s="26"/>
      <c r="I28" s="26"/>
      <c r="J28" s="26"/>
      <c r="K28" s="26"/>
      <c r="L28" s="26"/>
      <c r="M28" s="26"/>
      <c r="N28" s="26"/>
    </row>
    <row r="29" spans="1:14" x14ac:dyDescent="0.25">
      <c r="A29" s="13"/>
      <c r="B29" s="230" t="s">
        <v>28</v>
      </c>
      <c r="C29" s="232">
        <v>23972.43</v>
      </c>
      <c r="D29" s="232">
        <v>24399.07</v>
      </c>
      <c r="E29" s="232">
        <v>29793.41</v>
      </c>
      <c r="F29" s="19"/>
      <c r="G29" s="26"/>
      <c r="H29" s="26"/>
      <c r="I29" s="26"/>
      <c r="J29" s="26"/>
      <c r="K29" s="26"/>
      <c r="L29" s="26"/>
      <c r="M29" s="26"/>
      <c r="N29" s="26"/>
    </row>
    <row r="30" spans="1:14" x14ac:dyDescent="0.25">
      <c r="A30" s="13"/>
      <c r="B30" s="230" t="s">
        <v>29</v>
      </c>
      <c r="C30" s="232">
        <v>2035.39</v>
      </c>
      <c r="D30" s="232">
        <v>2413.38</v>
      </c>
      <c r="E30" s="232">
        <v>2785.96</v>
      </c>
      <c r="F30" s="19"/>
      <c r="G30" s="26"/>
      <c r="H30" s="26"/>
      <c r="I30" s="26"/>
      <c r="J30" s="26"/>
      <c r="K30" s="26"/>
      <c r="L30" s="26"/>
      <c r="M30" s="26"/>
      <c r="N30" s="26"/>
    </row>
    <row r="31" spans="1:14" x14ac:dyDescent="0.25">
      <c r="A31" s="13"/>
      <c r="B31" s="230" t="s">
        <v>30</v>
      </c>
      <c r="C31" s="232">
        <v>2399.06</v>
      </c>
      <c r="D31" s="232">
        <v>2399.06</v>
      </c>
      <c r="E31" s="232">
        <v>2399.06</v>
      </c>
      <c r="F31" s="19" t="s">
        <v>750</v>
      </c>
      <c r="G31" s="26"/>
      <c r="H31" s="26"/>
      <c r="I31" s="26"/>
      <c r="J31" s="26"/>
      <c r="K31" s="26"/>
      <c r="L31" s="26"/>
      <c r="M31" s="26"/>
      <c r="N31" s="26"/>
    </row>
    <row r="32" spans="1:14" x14ac:dyDescent="0.25">
      <c r="A32" s="13"/>
      <c r="B32" s="230" t="s">
        <v>31</v>
      </c>
      <c r="C32" s="232">
        <v>5074.29</v>
      </c>
      <c r="D32" s="232">
        <v>7198.45</v>
      </c>
      <c r="E32" s="232">
        <v>9405.9500000000007</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3"/>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9"/>
      <c r="E36" s="17"/>
      <c r="F36" s="17"/>
      <c r="G36" s="26"/>
      <c r="H36" s="26"/>
      <c r="I36" s="26"/>
      <c r="J36" s="26"/>
      <c r="K36" s="26"/>
      <c r="L36" s="26"/>
      <c r="M36" s="26"/>
      <c r="N36" s="26"/>
    </row>
    <row r="37" spans="1:14" x14ac:dyDescent="0.25">
      <c r="A37" s="13"/>
      <c r="B37" s="227" t="s">
        <v>36</v>
      </c>
      <c r="C37" s="232" t="s">
        <v>245</v>
      </c>
      <c r="D37" s="9"/>
      <c r="E37" s="17"/>
      <c r="F37" s="17"/>
      <c r="G37" s="26"/>
      <c r="H37" s="26"/>
      <c r="I37" s="26"/>
      <c r="J37" s="26"/>
      <c r="K37" s="26"/>
      <c r="L37" s="26"/>
      <c r="M37" s="26"/>
      <c r="N37" s="26"/>
    </row>
    <row r="38" spans="1:14" x14ac:dyDescent="0.25">
      <c r="A38" s="13"/>
      <c r="B38" s="233" t="s">
        <v>37</v>
      </c>
      <c r="C38" s="236" t="s">
        <v>873</v>
      </c>
      <c r="D38" s="9"/>
      <c r="E38" s="17"/>
      <c r="F38" s="17"/>
      <c r="G38" s="26"/>
      <c r="H38" s="26"/>
      <c r="I38" s="26"/>
      <c r="J38" s="26"/>
      <c r="K38" s="26"/>
      <c r="L38" s="26"/>
      <c r="M38" s="26"/>
      <c r="N38" s="26"/>
    </row>
    <row r="39" spans="1:14" x14ac:dyDescent="0.25">
      <c r="A39" s="13"/>
      <c r="B39" s="382" t="s">
        <v>156</v>
      </c>
      <c r="C39" s="382"/>
      <c r="D39" s="9"/>
      <c r="E39" s="17"/>
      <c r="F39" s="17"/>
      <c r="G39" s="26"/>
      <c r="H39" s="26"/>
      <c r="I39" s="26"/>
      <c r="J39" s="26"/>
      <c r="K39" s="26"/>
      <c r="L39" s="26"/>
      <c r="M39" s="26"/>
      <c r="N39" s="26"/>
    </row>
    <row r="40" spans="1:14" x14ac:dyDescent="0.25">
      <c r="A40" s="13"/>
      <c r="B40" s="74"/>
      <c r="C40" s="17"/>
      <c r="D40" s="9"/>
      <c r="E40" s="17"/>
      <c r="F40" s="17"/>
      <c r="G40" s="26"/>
      <c r="H40" s="26"/>
      <c r="I40" s="26"/>
      <c r="J40" s="26"/>
      <c r="K40" s="26"/>
      <c r="L40" s="26"/>
      <c r="M40" s="26"/>
      <c r="N40" s="26"/>
    </row>
    <row r="41" spans="1:14" x14ac:dyDescent="0.25">
      <c r="A41" s="13"/>
      <c r="B41" s="19"/>
      <c r="C41" s="17"/>
      <c r="D41" s="9"/>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x14ac:dyDescent="0.25">
      <c r="A44" s="13"/>
      <c r="B44" s="21" t="s">
        <v>36</v>
      </c>
      <c r="C44" s="350" t="s">
        <v>16</v>
      </c>
      <c r="D44" s="351"/>
      <c r="E44" s="352"/>
      <c r="F44" s="17"/>
      <c r="G44" s="26"/>
      <c r="H44" s="26"/>
      <c r="I44" s="26"/>
      <c r="J44" s="26"/>
      <c r="K44" s="26"/>
      <c r="L44" s="26"/>
      <c r="M44" s="26"/>
      <c r="N44" s="26"/>
    </row>
    <row r="45" spans="1:14" ht="57" customHeight="1" x14ac:dyDescent="0.25">
      <c r="A45" s="13"/>
      <c r="B45" s="21" t="s">
        <v>37</v>
      </c>
      <c r="C45" s="350" t="s">
        <v>874</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83.25" customHeight="1" x14ac:dyDescent="0.25">
      <c r="A50" s="34"/>
      <c r="B50" s="94" t="s">
        <v>369</v>
      </c>
      <c r="C50" s="94" t="s">
        <v>564</v>
      </c>
      <c r="D50" s="94" t="s">
        <v>564</v>
      </c>
      <c r="E50" s="94" t="s">
        <v>125</v>
      </c>
      <c r="F50" s="26"/>
      <c r="G50" s="26"/>
      <c r="H50" s="26"/>
      <c r="I50" s="26"/>
      <c r="J50" s="26"/>
      <c r="K50" s="26"/>
      <c r="L50" s="26"/>
      <c r="M50" s="26"/>
    </row>
    <row r="51" spans="1:14" x14ac:dyDescent="0.25">
      <c r="A51" s="36"/>
      <c r="B51" s="345" t="s">
        <v>565</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427" t="s">
        <v>50</v>
      </c>
      <c r="C54" s="394" t="s">
        <v>566</v>
      </c>
      <c r="D54" s="395"/>
      <c r="E54" s="396"/>
      <c r="F54" s="26"/>
      <c r="G54" s="26"/>
      <c r="H54" s="26"/>
      <c r="I54" s="26"/>
      <c r="J54" s="26"/>
      <c r="K54" s="2"/>
      <c r="L54" s="26"/>
      <c r="M54" s="26"/>
    </row>
    <row r="55" spans="1:14" ht="27" customHeight="1" x14ac:dyDescent="0.25">
      <c r="A55" s="34"/>
      <c r="B55" s="428"/>
      <c r="C55" s="397"/>
      <c r="D55" s="398"/>
      <c r="E55" s="399"/>
      <c r="F55" s="26"/>
      <c r="G55" s="26"/>
      <c r="H55" s="26"/>
      <c r="I55" s="26"/>
      <c r="J55" s="26"/>
      <c r="K55" s="2"/>
      <c r="L55" s="26"/>
      <c r="M55" s="26"/>
    </row>
    <row r="56" spans="1:14" ht="39" customHeight="1" x14ac:dyDescent="0.25">
      <c r="A56" s="29"/>
      <c r="B56" s="39" t="s">
        <v>54</v>
      </c>
      <c r="C56" s="344" t="s">
        <v>566</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565</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118"/>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3"/>
      <c r="E62" s="19"/>
      <c r="F62" s="19"/>
      <c r="G62" s="19"/>
      <c r="H62" s="52"/>
      <c r="I62" s="52"/>
      <c r="J62" s="19"/>
      <c r="K62" s="26"/>
      <c r="L62" s="26"/>
      <c r="M62" s="26"/>
      <c r="N62" s="26"/>
    </row>
    <row r="63" spans="1:14" x14ac:dyDescent="0.25">
      <c r="A63" s="13">
        <v>12</v>
      </c>
      <c r="B63" s="15" t="s">
        <v>61</v>
      </c>
      <c r="C63" s="15"/>
      <c r="D63" s="13"/>
      <c r="E63" s="15"/>
      <c r="F63" s="15"/>
      <c r="G63" s="15"/>
      <c r="H63" s="15"/>
      <c r="I63" s="15"/>
      <c r="J63" s="15"/>
      <c r="K63" s="15"/>
      <c r="L63" s="15"/>
      <c r="M63" s="15"/>
      <c r="N63" s="15"/>
    </row>
    <row r="64" spans="1:14" x14ac:dyDescent="0.25">
      <c r="A64" s="13"/>
      <c r="B64" s="15"/>
      <c r="C64" s="15"/>
      <c r="D64" s="13"/>
      <c r="E64" s="15"/>
      <c r="F64" s="15"/>
      <c r="G64" s="15"/>
      <c r="H64" s="15"/>
      <c r="I64" s="15"/>
      <c r="J64" s="15"/>
      <c r="K64" s="15"/>
      <c r="L64" s="15"/>
      <c r="M64" s="15"/>
      <c r="N64" s="15"/>
    </row>
    <row r="65" spans="1:14" x14ac:dyDescent="0.25">
      <c r="A65" s="13"/>
      <c r="B65" s="21" t="s">
        <v>62</v>
      </c>
      <c r="C65" s="23" t="s">
        <v>567</v>
      </c>
      <c r="D65" s="13"/>
      <c r="E65" s="52"/>
      <c r="F65" s="52"/>
      <c r="G65" s="52"/>
      <c r="H65" s="19"/>
      <c r="I65" s="19"/>
      <c r="J65" s="19"/>
      <c r="K65" s="19"/>
      <c r="L65" s="19"/>
      <c r="M65" s="19"/>
      <c r="N65" s="19"/>
    </row>
    <row r="66" spans="1:14" x14ac:dyDescent="0.25">
      <c r="A66" s="13"/>
      <c r="B66" s="19"/>
      <c r="C66" s="19"/>
      <c r="D66" s="13"/>
      <c r="E66" s="19"/>
      <c r="F66" s="19"/>
      <c r="G66" s="19"/>
      <c r="H66" s="19"/>
      <c r="I66" s="19"/>
      <c r="J66" s="19"/>
      <c r="K66" s="19"/>
      <c r="L66" s="19"/>
      <c r="M66" s="19"/>
      <c r="N66" s="19"/>
    </row>
    <row r="67" spans="1:14" x14ac:dyDescent="0.25">
      <c r="A67" s="13"/>
      <c r="B67" s="333" t="s">
        <v>64</v>
      </c>
      <c r="C67" s="372" t="s">
        <v>568</v>
      </c>
      <c r="D67" s="336" t="s">
        <v>333</v>
      </c>
      <c r="E67" s="336" t="s">
        <v>294</v>
      </c>
      <c r="F67" s="327" t="s">
        <v>68</v>
      </c>
      <c r="G67" s="328"/>
      <c r="H67" s="329"/>
      <c r="I67" s="330" t="s">
        <v>69</v>
      </c>
      <c r="J67" s="330"/>
      <c r="K67" s="330"/>
      <c r="L67" s="330" t="s">
        <v>70</v>
      </c>
      <c r="M67" s="330"/>
      <c r="N67" s="330"/>
    </row>
    <row r="68" spans="1:14" ht="38.25" x14ac:dyDescent="0.25">
      <c r="A68" s="4"/>
      <c r="B68" s="333"/>
      <c r="C68" s="335"/>
      <c r="D68" s="337"/>
      <c r="E68" s="337"/>
      <c r="F68" s="21" t="s">
        <v>71</v>
      </c>
      <c r="G68" s="21" t="s">
        <v>72</v>
      </c>
      <c r="H68" s="21" t="s">
        <v>73</v>
      </c>
      <c r="I68" s="21" t="s">
        <v>74</v>
      </c>
      <c r="J68" s="21" t="s">
        <v>72</v>
      </c>
      <c r="K68" s="21" t="s">
        <v>73</v>
      </c>
      <c r="L68" s="21" t="s">
        <v>74</v>
      </c>
      <c r="M68" s="21" t="s">
        <v>72</v>
      </c>
      <c r="N68" s="21" t="s">
        <v>73</v>
      </c>
    </row>
    <row r="69" spans="1:14" x14ac:dyDescent="0.25">
      <c r="A69" s="4"/>
      <c r="B69" s="21" t="s">
        <v>165</v>
      </c>
      <c r="C69" s="53">
        <v>54</v>
      </c>
      <c r="D69" s="119">
        <v>136</v>
      </c>
      <c r="E69" s="54">
        <v>170.4</v>
      </c>
      <c r="F69" s="54">
        <v>129</v>
      </c>
      <c r="G69" s="54">
        <v>174.2</v>
      </c>
      <c r="H69" s="53">
        <v>54</v>
      </c>
      <c r="I69" s="53">
        <v>56.75</v>
      </c>
      <c r="J69" s="53">
        <v>139</v>
      </c>
      <c r="K69" s="53">
        <v>47.1</v>
      </c>
      <c r="L69" s="53">
        <v>34.5</v>
      </c>
      <c r="M69" s="53">
        <v>68</v>
      </c>
      <c r="N69" s="53">
        <v>26.2</v>
      </c>
    </row>
    <row r="70" spans="1:14" ht="25.5" x14ac:dyDescent="0.25">
      <c r="A70" s="4"/>
      <c r="B70" s="21" t="s">
        <v>166</v>
      </c>
      <c r="C70" s="53">
        <v>9988.75</v>
      </c>
      <c r="D70" s="120">
        <v>10303.15</v>
      </c>
      <c r="E70" s="53">
        <v>10623.6</v>
      </c>
      <c r="F70" s="54">
        <v>10113.700000000001</v>
      </c>
      <c r="G70" s="54">
        <v>11171.55</v>
      </c>
      <c r="H70" s="141">
        <v>9075.15</v>
      </c>
      <c r="I70" s="53">
        <v>11623.9</v>
      </c>
      <c r="J70" s="53">
        <v>11760.2</v>
      </c>
      <c r="K70" s="53">
        <v>10004.549999999999</v>
      </c>
      <c r="L70" s="53">
        <v>8597.75</v>
      </c>
      <c r="M70" s="53">
        <v>12430.5</v>
      </c>
      <c r="N70" s="53">
        <v>7511.1</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121"/>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3"/>
      <c r="E78" s="19"/>
      <c r="F78" s="19"/>
      <c r="G78" s="19"/>
      <c r="H78" s="19"/>
      <c r="I78" s="19"/>
      <c r="J78" s="19"/>
      <c r="K78" s="19"/>
      <c r="L78" s="19"/>
      <c r="M78" s="19"/>
      <c r="N78" s="19"/>
    </row>
    <row r="79" spans="1:14" ht="82.5" customHeight="1" x14ac:dyDescent="0.25">
      <c r="A79" s="4"/>
      <c r="B79" s="224" t="s">
        <v>84</v>
      </c>
      <c r="C79" s="226" t="s">
        <v>85</v>
      </c>
      <c r="D79" s="226" t="s">
        <v>86</v>
      </c>
      <c r="E79" s="226" t="s">
        <v>280</v>
      </c>
      <c r="F79" s="226" t="s">
        <v>88</v>
      </c>
      <c r="G79" s="226" t="s">
        <v>169</v>
      </c>
      <c r="H79" s="17"/>
      <c r="I79" s="17"/>
      <c r="J79" s="17"/>
      <c r="K79" s="17"/>
      <c r="L79" s="17"/>
      <c r="M79" s="17"/>
      <c r="N79" s="17"/>
    </row>
    <row r="80" spans="1:14" x14ac:dyDescent="0.25">
      <c r="A80" s="4"/>
      <c r="B80" s="316" t="s">
        <v>90</v>
      </c>
      <c r="C80" s="5" t="s">
        <v>569</v>
      </c>
      <c r="D80" s="229">
        <v>6.8</v>
      </c>
      <c r="E80" s="61">
        <v>9.4</v>
      </c>
      <c r="F80" s="232">
        <v>10.06</v>
      </c>
      <c r="G80" s="61"/>
      <c r="H80" s="62"/>
      <c r="I80" s="62"/>
      <c r="J80" s="62"/>
      <c r="K80" s="62"/>
      <c r="L80" s="62"/>
      <c r="M80" s="62"/>
      <c r="N80" s="62"/>
    </row>
    <row r="81" spans="1:14" x14ac:dyDescent="0.25">
      <c r="A81" s="4"/>
      <c r="B81" s="316"/>
      <c r="C81" s="5" t="s">
        <v>92</v>
      </c>
      <c r="D81" s="229"/>
      <c r="E81" s="61"/>
      <c r="F81" s="232"/>
      <c r="G81" s="61"/>
      <c r="H81" s="62"/>
      <c r="I81" s="62"/>
      <c r="J81" s="62"/>
      <c r="K81" s="62"/>
      <c r="L81" s="62"/>
      <c r="M81" s="62"/>
      <c r="N81" s="62"/>
    </row>
    <row r="82" spans="1:14" x14ac:dyDescent="0.25">
      <c r="A82" s="4"/>
      <c r="B82" s="316"/>
      <c r="C82" s="25" t="s">
        <v>570</v>
      </c>
      <c r="D82" s="229">
        <v>1.41</v>
      </c>
      <c r="E82" s="61">
        <v>0.56999999999999995</v>
      </c>
      <c r="F82" s="232">
        <v>0.56000000000000005</v>
      </c>
      <c r="G82" s="61">
        <v>0.41</v>
      </c>
      <c r="H82" s="62"/>
      <c r="I82" s="62"/>
      <c r="J82" s="62"/>
      <c r="K82" s="62"/>
      <c r="L82" s="62"/>
      <c r="M82" s="62"/>
      <c r="N82" s="62"/>
    </row>
    <row r="83" spans="1:14" x14ac:dyDescent="0.25">
      <c r="A83" s="4"/>
      <c r="B83" s="316"/>
      <c r="C83" s="25" t="s">
        <v>571</v>
      </c>
      <c r="D83" s="229">
        <v>10.06</v>
      </c>
      <c r="E83" s="61">
        <v>5.97</v>
      </c>
      <c r="F83" s="232">
        <v>10.77</v>
      </c>
      <c r="G83" s="61">
        <v>8.0399999999999991</v>
      </c>
      <c r="H83" s="62"/>
      <c r="I83" s="62"/>
      <c r="J83" s="62"/>
      <c r="K83" s="62"/>
      <c r="L83" s="62"/>
      <c r="M83" s="62"/>
      <c r="N83" s="62"/>
    </row>
    <row r="84" spans="1:14" x14ac:dyDescent="0.25">
      <c r="A84" s="4"/>
      <c r="B84" s="316"/>
      <c r="C84" s="25" t="s">
        <v>572</v>
      </c>
      <c r="D84" s="229">
        <v>0.59</v>
      </c>
      <c r="E84" s="81" t="s">
        <v>126</v>
      </c>
      <c r="F84" s="232"/>
      <c r="G84" s="61" t="s">
        <v>870</v>
      </c>
      <c r="H84" s="62"/>
      <c r="I84" s="62"/>
      <c r="J84" s="62"/>
      <c r="K84" s="62"/>
      <c r="L84" s="62"/>
      <c r="M84" s="62"/>
      <c r="N84" s="62"/>
    </row>
    <row r="85" spans="1:14" x14ac:dyDescent="0.25">
      <c r="A85" s="4"/>
      <c r="B85" s="316"/>
      <c r="C85" s="5" t="s">
        <v>93</v>
      </c>
      <c r="D85" s="92"/>
      <c r="E85" s="61"/>
      <c r="F85" s="232"/>
      <c r="G85" s="61"/>
      <c r="H85" s="62"/>
      <c r="I85" s="62"/>
      <c r="J85" s="62"/>
      <c r="K85" s="62"/>
      <c r="L85" s="62"/>
      <c r="M85" s="62"/>
      <c r="N85" s="62"/>
    </row>
    <row r="86" spans="1:14" x14ac:dyDescent="0.2">
      <c r="A86" s="4"/>
      <c r="B86" s="316" t="s">
        <v>94</v>
      </c>
      <c r="C86" s="5" t="s">
        <v>569</v>
      </c>
      <c r="D86" s="93">
        <v>6.62</v>
      </c>
      <c r="E86" s="64">
        <f>F69/E80</f>
        <v>13.723404255319148</v>
      </c>
      <c r="F86" s="235">
        <f>I69/F80</f>
        <v>5.6411530815109341</v>
      </c>
      <c r="G86" s="61"/>
      <c r="H86" s="62"/>
      <c r="I86" s="62"/>
      <c r="J86" s="62"/>
      <c r="K86" s="62"/>
      <c r="L86" s="62"/>
      <c r="M86" s="62"/>
      <c r="N86" s="62"/>
    </row>
    <row r="87" spans="1:14" x14ac:dyDescent="0.25">
      <c r="A87" s="4"/>
      <c r="B87" s="316"/>
      <c r="C87" s="5" t="s">
        <v>92</v>
      </c>
      <c r="D87" s="229"/>
      <c r="E87" s="61"/>
      <c r="F87" s="232"/>
      <c r="G87" s="61"/>
      <c r="H87" s="62"/>
      <c r="I87" s="62" t="s">
        <v>750</v>
      </c>
      <c r="J87" s="62"/>
      <c r="K87" s="62"/>
      <c r="L87" s="62"/>
      <c r="M87" s="62"/>
      <c r="N87" s="62"/>
    </row>
    <row r="88" spans="1:14" x14ac:dyDescent="0.25">
      <c r="A88" s="4"/>
      <c r="B88" s="316"/>
      <c r="C88" s="25" t="s">
        <v>570</v>
      </c>
      <c r="D88" s="229">
        <v>29.86</v>
      </c>
      <c r="E88" s="64">
        <f>19.5/E82</f>
        <v>34.21052631578948</v>
      </c>
      <c r="F88" s="237">
        <f>8.07/F82</f>
        <v>14.410714285714285</v>
      </c>
      <c r="G88" s="61">
        <v>5.99</v>
      </c>
      <c r="H88" s="62"/>
      <c r="I88" s="62"/>
      <c r="J88" s="62"/>
      <c r="K88" s="62"/>
      <c r="L88" s="62"/>
      <c r="M88" s="62"/>
      <c r="N88" s="62"/>
    </row>
    <row r="89" spans="1:14" x14ac:dyDescent="0.25">
      <c r="A89" s="4"/>
      <c r="B89" s="316"/>
      <c r="C89" s="25" t="s">
        <v>571</v>
      </c>
      <c r="D89" s="229">
        <v>27.79</v>
      </c>
      <c r="E89" s="64">
        <f>268.45/E83</f>
        <v>44.96649916247906</v>
      </c>
      <c r="F89" s="235">
        <f>113.85/F83</f>
        <v>10.571030640668523</v>
      </c>
      <c r="G89" s="61">
        <v>3.8</v>
      </c>
      <c r="H89" s="62"/>
      <c r="I89" s="62"/>
      <c r="J89" s="62"/>
      <c r="K89" s="62"/>
      <c r="L89" s="62"/>
      <c r="M89" s="62"/>
      <c r="N89" s="62"/>
    </row>
    <row r="90" spans="1:14" x14ac:dyDescent="0.25">
      <c r="A90" s="4"/>
      <c r="B90" s="316"/>
      <c r="C90" s="25" t="s">
        <v>572</v>
      </c>
      <c r="D90" s="229">
        <v>32.200000000000003</v>
      </c>
      <c r="E90" s="81" t="s">
        <v>126</v>
      </c>
      <c r="F90" s="232" t="e">
        <f>13.2/F84</f>
        <v>#DIV/0!</v>
      </c>
      <c r="G90" s="61" t="s">
        <v>870</v>
      </c>
      <c r="H90" s="62" t="s">
        <v>750</v>
      </c>
      <c r="I90" s="62"/>
      <c r="J90" s="62"/>
      <c r="K90" s="62"/>
      <c r="L90" s="62"/>
      <c r="M90" s="62"/>
      <c r="N90" s="62"/>
    </row>
    <row r="91" spans="1:14" x14ac:dyDescent="0.25">
      <c r="A91" s="4"/>
      <c r="B91" s="316"/>
      <c r="C91" s="5" t="s">
        <v>93</v>
      </c>
      <c r="D91" s="229"/>
      <c r="E91" s="61"/>
      <c r="F91" s="232"/>
      <c r="G91" s="61"/>
      <c r="H91" s="62"/>
      <c r="I91" s="62"/>
      <c r="J91" s="62"/>
      <c r="K91" s="62"/>
      <c r="L91" s="62"/>
      <c r="M91" s="62"/>
      <c r="N91" s="62"/>
    </row>
    <row r="92" spans="1:14" x14ac:dyDescent="0.2">
      <c r="A92" s="4"/>
      <c r="B92" s="316" t="s">
        <v>95</v>
      </c>
      <c r="C92" s="5" t="s">
        <v>569</v>
      </c>
      <c r="D92" s="114">
        <v>0.33589999999999998</v>
      </c>
      <c r="E92" s="65">
        <f>203539952/747335551</f>
        <v>0.272354167719769</v>
      </c>
      <c r="F92" s="235">
        <f>241337643/959751257*100</f>
        <v>25.145853286441699</v>
      </c>
      <c r="G92" s="61"/>
      <c r="H92" s="62"/>
      <c r="I92" s="62"/>
      <c r="J92" s="62"/>
      <c r="K92" s="62"/>
      <c r="L92" s="62"/>
      <c r="M92" s="62"/>
      <c r="N92" s="62"/>
    </row>
    <row r="93" spans="1:14" x14ac:dyDescent="0.25">
      <c r="A93" s="4"/>
      <c r="B93" s="316"/>
      <c r="C93" s="5" t="s">
        <v>92</v>
      </c>
      <c r="D93" s="229"/>
      <c r="E93" s="61"/>
      <c r="F93" s="232"/>
      <c r="G93" s="61"/>
      <c r="H93" s="62"/>
      <c r="I93" s="62"/>
      <c r="J93" s="62"/>
      <c r="K93" s="62"/>
      <c r="L93" s="62"/>
      <c r="M93" s="62"/>
      <c r="N93" s="62"/>
    </row>
    <row r="94" spans="1:14" x14ac:dyDescent="0.25">
      <c r="A94" s="4"/>
      <c r="B94" s="316"/>
      <c r="C94" s="25" t="s">
        <v>570</v>
      </c>
      <c r="D94" s="229">
        <v>1.5599999999999999E-2</v>
      </c>
      <c r="E94" s="219">
        <f>2253.47/10781.78</f>
        <v>0.20900723257198717</v>
      </c>
      <c r="F94" s="235">
        <f>2217.62/12501.37*100</f>
        <v>17.739015803867893</v>
      </c>
      <c r="G94" s="61">
        <v>13.17</v>
      </c>
      <c r="H94" s="62"/>
      <c r="I94" s="62"/>
      <c r="J94" s="62"/>
      <c r="K94" s="62"/>
      <c r="L94" s="62"/>
      <c r="M94" s="62"/>
      <c r="N94" s="62"/>
    </row>
    <row r="95" spans="1:14" x14ac:dyDescent="0.25">
      <c r="A95" s="4"/>
      <c r="B95" s="316"/>
      <c r="C95" s="25" t="s">
        <v>571</v>
      </c>
      <c r="D95" s="238">
        <v>0.1096</v>
      </c>
      <c r="E95" s="65">
        <f>13.48/187.11</f>
        <v>7.2043183154294269E-2</v>
      </c>
      <c r="F95" s="235">
        <f>24.35/209.16*100</f>
        <v>11.641805316504113</v>
      </c>
      <c r="G95" s="61">
        <v>7.29</v>
      </c>
      <c r="H95" s="62"/>
      <c r="I95" s="62"/>
      <c r="J95" s="62"/>
      <c r="K95" s="62"/>
      <c r="L95" s="62"/>
      <c r="M95" s="62"/>
      <c r="N95" s="62"/>
    </row>
    <row r="96" spans="1:14" x14ac:dyDescent="0.25">
      <c r="A96" s="4"/>
      <c r="B96" s="316"/>
      <c r="C96" s="25" t="s">
        <v>572</v>
      </c>
      <c r="D96" s="238">
        <v>0.1203</v>
      </c>
      <c r="E96" s="81" t="s">
        <v>126</v>
      </c>
      <c r="F96" s="232"/>
      <c r="G96" s="61" t="s">
        <v>870</v>
      </c>
      <c r="H96" s="62" t="s">
        <v>750</v>
      </c>
      <c r="I96" s="62"/>
      <c r="J96" s="62"/>
      <c r="K96" s="62"/>
      <c r="L96" s="62"/>
      <c r="M96" s="62"/>
      <c r="N96" s="62"/>
    </row>
    <row r="97" spans="1:14" x14ac:dyDescent="0.25">
      <c r="A97" s="4"/>
      <c r="B97" s="316"/>
      <c r="C97" s="5" t="s">
        <v>93</v>
      </c>
      <c r="D97" s="92"/>
      <c r="E97" s="61"/>
      <c r="F97" s="232"/>
      <c r="G97" s="61"/>
      <c r="H97" s="62"/>
      <c r="I97" s="62"/>
      <c r="J97" s="62"/>
      <c r="K97" s="66"/>
      <c r="L97" s="62"/>
      <c r="M97" s="62"/>
      <c r="N97" s="62"/>
    </row>
    <row r="98" spans="1:14" x14ac:dyDescent="0.2">
      <c r="A98" s="4"/>
      <c r="B98" s="316" t="s">
        <v>96</v>
      </c>
      <c r="C98" s="5" t="s">
        <v>569</v>
      </c>
      <c r="D98" s="91">
        <v>20.239999999999998</v>
      </c>
      <c r="E98" s="64">
        <f>747335551/23990600</f>
        <v>31.151182171350445</v>
      </c>
      <c r="F98" s="235">
        <f>959751257/23990600</f>
        <v>40.005304452577256</v>
      </c>
      <c r="G98" s="61"/>
      <c r="H98" s="62"/>
      <c r="I98" s="62"/>
      <c r="J98" s="62"/>
      <c r="K98" s="62"/>
      <c r="L98" s="62"/>
      <c r="M98" s="62"/>
      <c r="N98" s="62"/>
    </row>
    <row r="99" spans="1:14" x14ac:dyDescent="0.25">
      <c r="A99" s="4"/>
      <c r="B99" s="316"/>
      <c r="C99" s="5" t="s">
        <v>92</v>
      </c>
      <c r="D99" s="229"/>
      <c r="E99" s="61"/>
      <c r="F99" s="232"/>
      <c r="G99" s="61"/>
      <c r="H99" s="62"/>
      <c r="I99" s="62"/>
      <c r="J99" s="62"/>
      <c r="K99" s="62"/>
      <c r="L99" s="62"/>
      <c r="M99" s="62"/>
      <c r="N99" s="62"/>
    </row>
    <row r="100" spans="1:14" x14ac:dyDescent="0.25">
      <c r="A100" s="4"/>
      <c r="B100" s="386"/>
      <c r="C100" s="25" t="s">
        <v>570</v>
      </c>
      <c r="D100" s="229">
        <v>90.65</v>
      </c>
      <c r="E100" s="64">
        <f>10781.78/3938.89</f>
        <v>2.7372635437902559</v>
      </c>
      <c r="F100" s="235">
        <f>12501.37*100000/39388900</f>
        <v>31.738306984962769</v>
      </c>
      <c r="G100" s="61">
        <v>3.44</v>
      </c>
      <c r="H100" s="62"/>
      <c r="I100" s="62"/>
      <c r="J100" s="62"/>
      <c r="K100" s="62"/>
      <c r="L100" s="62"/>
      <c r="M100" s="62"/>
      <c r="N100" s="62"/>
    </row>
    <row r="101" spans="1:14" x14ac:dyDescent="0.25">
      <c r="A101" s="4"/>
      <c r="B101" s="386"/>
      <c r="C101" s="25" t="s">
        <v>571</v>
      </c>
      <c r="D101" s="229">
        <v>80.2</v>
      </c>
      <c r="E101" s="64">
        <f>187.11/2.26</f>
        <v>82.792035398230098</v>
      </c>
      <c r="F101" s="235">
        <f>209.16*10000000/22600000</f>
        <v>92.548672566371678</v>
      </c>
      <c r="G101" s="61">
        <v>114.76</v>
      </c>
      <c r="H101" s="62"/>
      <c r="I101" s="62"/>
      <c r="J101" s="62"/>
      <c r="K101" s="62"/>
      <c r="L101" s="62"/>
      <c r="M101" s="62"/>
      <c r="N101" s="62"/>
    </row>
    <row r="102" spans="1:14" x14ac:dyDescent="0.25">
      <c r="A102" s="4"/>
      <c r="B102" s="386"/>
      <c r="C102" s="25" t="s">
        <v>572</v>
      </c>
      <c r="D102" s="229">
        <v>5.29</v>
      </c>
      <c r="E102" s="81" t="s">
        <v>126</v>
      </c>
      <c r="F102" s="232"/>
      <c r="G102" s="61" t="s">
        <v>870</v>
      </c>
      <c r="H102" s="62" t="s">
        <v>750</v>
      </c>
      <c r="I102" s="62"/>
      <c r="J102" s="62"/>
      <c r="K102" s="62"/>
      <c r="L102" s="62"/>
      <c r="M102" s="62"/>
      <c r="N102" s="62"/>
    </row>
    <row r="103" spans="1:14" x14ac:dyDescent="0.25">
      <c r="A103" s="4"/>
      <c r="B103" s="386"/>
      <c r="C103" s="5" t="s">
        <v>93</v>
      </c>
      <c r="D103" s="92"/>
      <c r="E103" s="61"/>
      <c r="F103" s="232"/>
      <c r="G103" s="61"/>
      <c r="H103" s="62"/>
      <c r="I103" s="62"/>
      <c r="J103" s="62"/>
      <c r="K103" s="62"/>
      <c r="L103" s="62"/>
      <c r="M103" s="62"/>
      <c r="N103" s="62"/>
    </row>
    <row r="104" spans="1:14" s="57" customFormat="1" x14ac:dyDescent="0.25">
      <c r="B104" s="387"/>
      <c r="C104" s="388"/>
      <c r="D104" s="388"/>
      <c r="E104" s="388"/>
      <c r="F104" s="388"/>
      <c r="G104" s="389"/>
    </row>
    <row r="105" spans="1:14" x14ac:dyDescent="0.25">
      <c r="A105" s="4"/>
      <c r="B105" s="376" t="s">
        <v>573</v>
      </c>
      <c r="C105" s="377"/>
      <c r="D105" s="377"/>
      <c r="E105" s="377"/>
      <c r="F105" s="377"/>
      <c r="G105" s="378"/>
      <c r="H105" s="62"/>
      <c r="I105" s="62"/>
      <c r="J105" s="62"/>
      <c r="K105" s="62"/>
      <c r="L105" s="62"/>
      <c r="M105" s="62"/>
      <c r="N105" s="62"/>
    </row>
    <row r="106" spans="1:14" x14ac:dyDescent="0.25">
      <c r="A106" s="4"/>
      <c r="B106" s="379" t="s">
        <v>128</v>
      </c>
      <c r="C106" s="380"/>
      <c r="D106" s="380"/>
      <c r="E106" s="380"/>
      <c r="F106" s="380"/>
      <c r="G106" s="381"/>
      <c r="H106" s="62"/>
      <c r="I106" s="62"/>
      <c r="J106" s="62"/>
      <c r="K106" s="62"/>
      <c r="L106" s="62"/>
      <c r="M106" s="62"/>
      <c r="N106" s="62"/>
    </row>
    <row r="107" spans="1:14" x14ac:dyDescent="0.25">
      <c r="A107" s="4"/>
      <c r="B107" s="353"/>
      <c r="C107" s="354"/>
      <c r="D107" s="354"/>
      <c r="E107" s="354"/>
      <c r="F107" s="354"/>
      <c r="G107" s="355"/>
      <c r="H107" s="62"/>
      <c r="I107" s="62"/>
      <c r="J107" s="62"/>
      <c r="K107" s="62"/>
      <c r="L107" s="62"/>
      <c r="M107" s="62"/>
      <c r="N107" s="62"/>
    </row>
    <row r="108" spans="1:14" x14ac:dyDescent="0.25">
      <c r="A108" s="26"/>
      <c r="B108" s="12"/>
      <c r="C108" s="323"/>
      <c r="D108" s="323"/>
      <c r="E108" s="323"/>
      <c r="F108" s="323"/>
      <c r="G108" s="323"/>
      <c r="H108" s="62"/>
      <c r="I108" s="62"/>
      <c r="J108" s="26"/>
      <c r="K108" s="26"/>
      <c r="L108" s="26"/>
      <c r="M108" s="26"/>
      <c r="N108" s="26"/>
    </row>
    <row r="109" spans="1:14" x14ac:dyDescent="0.25">
      <c r="A109" s="13">
        <v>14</v>
      </c>
      <c r="B109" s="70" t="s">
        <v>99</v>
      </c>
      <c r="C109" s="324" t="s">
        <v>48</v>
      </c>
      <c r="D109" s="325"/>
      <c r="E109" s="325"/>
      <c r="F109" s="325"/>
      <c r="G109" s="326"/>
      <c r="H109" s="26"/>
      <c r="I109" s="26"/>
      <c r="J109" s="26"/>
      <c r="K109" s="26"/>
      <c r="L109" s="26"/>
      <c r="M109" s="26"/>
      <c r="N109" s="26"/>
    </row>
    <row r="110" spans="1:14" x14ac:dyDescent="0.25">
      <c r="A110" s="71"/>
      <c r="B110" s="26"/>
      <c r="C110" s="84"/>
      <c r="D110" s="124"/>
      <c r="E110" s="84"/>
      <c r="F110" s="84"/>
      <c r="G110" s="84"/>
      <c r="H110" s="26"/>
      <c r="I110" s="26"/>
      <c r="J110" s="26"/>
      <c r="K110" s="26"/>
      <c r="L110" s="26"/>
      <c r="M110" s="26"/>
      <c r="N110" s="26"/>
    </row>
    <row r="111" spans="1:14" x14ac:dyDescent="0.25">
      <c r="A111" s="26"/>
      <c r="B111" s="374" t="s">
        <v>574</v>
      </c>
      <c r="C111" s="375"/>
      <c r="D111" s="375"/>
      <c r="E111" s="375"/>
      <c r="F111" s="375"/>
      <c r="G111" s="375"/>
      <c r="H111" s="375"/>
      <c r="I111" s="26"/>
      <c r="J111" s="26"/>
      <c r="K111" s="26"/>
      <c r="L111" s="26"/>
      <c r="M111" s="26"/>
      <c r="N111" s="26"/>
    </row>
    <row r="112" spans="1:14" x14ac:dyDescent="0.25">
      <c r="A112" s="26"/>
      <c r="I112" s="26"/>
      <c r="J112" s="26"/>
      <c r="K112" s="26"/>
      <c r="L112" s="26"/>
      <c r="M112" s="26"/>
      <c r="N112" s="26"/>
    </row>
    <row r="113" spans="1:14" x14ac:dyDescent="0.25">
      <c r="A113" s="26"/>
      <c r="J113" s="26"/>
      <c r="K113" s="26"/>
      <c r="L113" s="26"/>
      <c r="M113" s="26"/>
      <c r="N113"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5"/>
    <mergeCell ref="B86:B91"/>
    <mergeCell ref="B111:H111"/>
    <mergeCell ref="B104:G104"/>
    <mergeCell ref="B105:G105"/>
    <mergeCell ref="B106:G106"/>
    <mergeCell ref="B107:G107"/>
    <mergeCell ref="C108:G108"/>
    <mergeCell ref="C109:G10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topLeftCell="A32" workbookViewId="0">
      <selection activeCell="B40" sqref="B40"/>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6" t="s">
        <v>130</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5</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131</v>
      </c>
      <c r="D8" s="9"/>
      <c r="E8" s="12"/>
      <c r="F8" s="12"/>
      <c r="G8" s="12"/>
      <c r="H8" s="12"/>
      <c r="I8" s="12"/>
      <c r="J8" s="12"/>
      <c r="K8" s="12"/>
      <c r="L8" s="12"/>
      <c r="M8" s="12"/>
      <c r="N8" s="12"/>
    </row>
    <row r="9" spans="1:25" ht="16.149999999999999" customHeight="1" x14ac:dyDescent="0.25">
      <c r="A9" s="13"/>
      <c r="B9" s="382" t="s">
        <v>6</v>
      </c>
      <c r="C9" s="382"/>
      <c r="D9" s="38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132</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38.25" x14ac:dyDescent="0.25">
      <c r="A19" s="13"/>
      <c r="B19" s="18" t="s">
        <v>104</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133</v>
      </c>
      <c r="D28" s="22" t="s">
        <v>26</v>
      </c>
      <c r="E28" s="22" t="s">
        <v>27</v>
      </c>
      <c r="F28" s="19"/>
      <c r="G28" s="26"/>
      <c r="H28" s="26"/>
      <c r="I28" s="26"/>
      <c r="J28" s="26"/>
      <c r="K28" s="26"/>
      <c r="L28" s="26"/>
      <c r="M28" s="26"/>
      <c r="N28" s="26"/>
    </row>
    <row r="29" spans="1:14" x14ac:dyDescent="0.25">
      <c r="A29" s="13"/>
      <c r="B29" s="23" t="s">
        <v>28</v>
      </c>
      <c r="C29" s="24">
        <v>1113.0899999999999</v>
      </c>
      <c r="D29" s="24">
        <v>1930.41</v>
      </c>
      <c r="E29" s="25">
        <v>2133.35</v>
      </c>
      <c r="F29" s="19"/>
      <c r="G29" s="26"/>
      <c r="H29" s="26"/>
      <c r="I29" s="26"/>
      <c r="J29" s="26"/>
      <c r="K29" s="26"/>
      <c r="L29" s="26"/>
      <c r="M29" s="26"/>
      <c r="N29" s="26"/>
    </row>
    <row r="30" spans="1:14" x14ac:dyDescent="0.25">
      <c r="A30" s="13"/>
      <c r="B30" s="23" t="s">
        <v>29</v>
      </c>
      <c r="C30" s="24">
        <v>52.54</v>
      </c>
      <c r="D30" s="24">
        <v>218.34</v>
      </c>
      <c r="E30" s="25">
        <v>199.09</v>
      </c>
      <c r="F30" s="19"/>
      <c r="G30" s="26"/>
      <c r="H30" s="26"/>
      <c r="I30" s="26"/>
      <c r="J30" s="26"/>
      <c r="K30" s="26"/>
      <c r="L30" s="26"/>
      <c r="M30" s="26"/>
      <c r="N30" s="26"/>
    </row>
    <row r="31" spans="1:14" x14ac:dyDescent="0.25">
      <c r="A31" s="13"/>
      <c r="B31" s="23" t="s">
        <v>30</v>
      </c>
      <c r="C31" s="24">
        <v>680</v>
      </c>
      <c r="D31" s="24">
        <v>680</v>
      </c>
      <c r="E31" s="25">
        <v>1020</v>
      </c>
      <c r="F31" s="19"/>
      <c r="G31" s="26"/>
      <c r="H31" s="26"/>
      <c r="I31" s="26"/>
      <c r="J31" s="26"/>
      <c r="K31" s="26"/>
      <c r="L31" s="26"/>
      <c r="M31" s="26"/>
      <c r="N31" s="26"/>
    </row>
    <row r="32" spans="1:14" x14ac:dyDescent="0.25">
      <c r="A32" s="13"/>
      <c r="B32" s="23" t="s">
        <v>31</v>
      </c>
      <c r="C32" s="24">
        <v>273.14999999999998</v>
      </c>
      <c r="D32" s="24">
        <v>488.99</v>
      </c>
      <c r="E32" s="25">
        <v>357.9</v>
      </c>
      <c r="F32" s="19"/>
      <c r="G32" s="26"/>
      <c r="H32" s="26"/>
      <c r="I32" s="26"/>
      <c r="J32" s="26"/>
      <c r="K32" s="26"/>
      <c r="L32" s="26"/>
      <c r="M32" s="26"/>
      <c r="N32" s="26"/>
    </row>
    <row r="33" spans="1:14" x14ac:dyDescent="0.25">
      <c r="A33" s="13"/>
      <c r="B33" s="353" t="s">
        <v>105</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367" t="s">
        <v>35</v>
      </c>
      <c r="D36" s="367"/>
      <c r="E36" s="367"/>
      <c r="F36" s="17"/>
      <c r="G36" s="26"/>
      <c r="H36" s="26"/>
      <c r="I36" s="26"/>
      <c r="J36" s="26"/>
      <c r="K36" s="26"/>
      <c r="L36" s="26"/>
      <c r="M36" s="26"/>
      <c r="N36" s="26"/>
    </row>
    <row r="37" spans="1:14" x14ac:dyDescent="0.25">
      <c r="A37" s="13"/>
      <c r="B37" s="21" t="s">
        <v>36</v>
      </c>
      <c r="C37" s="367" t="s">
        <v>35</v>
      </c>
      <c r="D37" s="367"/>
      <c r="E37" s="367"/>
      <c r="F37" s="17"/>
      <c r="G37" s="26"/>
      <c r="H37" s="26"/>
      <c r="I37" s="26"/>
      <c r="J37" s="26"/>
      <c r="K37" s="26"/>
      <c r="L37" s="26"/>
      <c r="M37" s="26"/>
      <c r="N37" s="26"/>
    </row>
    <row r="38" spans="1:14" x14ac:dyDescent="0.25">
      <c r="A38" s="13"/>
      <c r="B38" s="21" t="s">
        <v>37</v>
      </c>
      <c r="C38" s="367" t="s">
        <v>35</v>
      </c>
      <c r="D38" s="367"/>
      <c r="E38" s="367"/>
      <c r="F38" s="17"/>
      <c r="G38" s="26"/>
      <c r="H38" s="26"/>
      <c r="I38" s="26"/>
      <c r="J38" s="26"/>
      <c r="K38" s="26"/>
      <c r="L38" s="26"/>
      <c r="M38" s="26"/>
      <c r="N38" s="26"/>
    </row>
    <row r="39" spans="1:14" x14ac:dyDescent="0.25">
      <c r="A39" s="13"/>
      <c r="B39" s="353" t="s">
        <v>21</v>
      </c>
      <c r="C39" s="354"/>
      <c r="D39" s="354"/>
      <c r="E39" s="355"/>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134</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45</v>
      </c>
      <c r="F49" s="26"/>
      <c r="G49" s="26"/>
      <c r="H49" s="26"/>
      <c r="I49" s="26"/>
      <c r="J49" s="26"/>
      <c r="K49" s="26"/>
      <c r="L49" s="26"/>
      <c r="M49" s="26"/>
    </row>
    <row r="50" spans="1:14" ht="63.75" x14ac:dyDescent="0.25">
      <c r="A50" s="34"/>
      <c r="B50" s="35" t="s">
        <v>46</v>
      </c>
      <c r="C50" s="35" t="s">
        <v>135</v>
      </c>
      <c r="D50" s="35" t="s">
        <v>135</v>
      </c>
      <c r="E50" s="6" t="s">
        <v>48</v>
      </c>
      <c r="F50" s="26"/>
      <c r="G50" s="26"/>
      <c r="H50" s="26"/>
      <c r="I50" s="26"/>
      <c r="J50" s="26"/>
      <c r="K50" s="26"/>
      <c r="L50" s="26"/>
      <c r="M50" s="26"/>
    </row>
    <row r="51" spans="1:14" x14ac:dyDescent="0.25">
      <c r="A51" s="36"/>
      <c r="B51" s="345" t="s">
        <v>136</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49</v>
      </c>
      <c r="C53" s="356"/>
      <c r="D53" s="356"/>
      <c r="E53" s="356"/>
      <c r="F53" s="19"/>
      <c r="G53" s="19"/>
      <c r="H53" s="19"/>
      <c r="I53" s="26"/>
      <c r="J53" s="26"/>
      <c r="K53" s="26"/>
      <c r="L53" s="26"/>
      <c r="M53" s="26"/>
    </row>
    <row r="54" spans="1:14" x14ac:dyDescent="0.2">
      <c r="A54" s="34"/>
      <c r="B54" s="357" t="s">
        <v>50</v>
      </c>
      <c r="C54" s="360" t="s">
        <v>137</v>
      </c>
      <c r="D54" s="361"/>
      <c r="E54" s="362"/>
      <c r="F54" s="26"/>
      <c r="G54" s="26"/>
      <c r="H54" s="26"/>
      <c r="I54" s="26"/>
      <c r="J54" s="26"/>
      <c r="K54" s="2"/>
      <c r="L54" s="26"/>
      <c r="M54" s="26"/>
    </row>
    <row r="55" spans="1:14" x14ac:dyDescent="0.25">
      <c r="A55" s="34"/>
      <c r="B55" s="359"/>
      <c r="C55" s="341" t="s">
        <v>138</v>
      </c>
      <c r="D55" s="342"/>
      <c r="E55" s="343"/>
      <c r="F55" s="26"/>
      <c r="G55" s="26"/>
      <c r="H55" s="26"/>
      <c r="I55" s="26"/>
      <c r="J55" s="26"/>
      <c r="K55" s="2"/>
      <c r="L55" s="26"/>
      <c r="M55" s="26"/>
    </row>
    <row r="56" spans="1:14" x14ac:dyDescent="0.2">
      <c r="A56" s="29"/>
      <c r="B56" s="39" t="s">
        <v>54</v>
      </c>
      <c r="C56" s="360" t="s">
        <v>137</v>
      </c>
      <c r="D56" s="361"/>
      <c r="E56" s="362"/>
      <c r="F56" s="26"/>
      <c r="G56" s="26"/>
      <c r="H56" s="26"/>
      <c r="I56" s="26"/>
      <c r="J56" s="26"/>
      <c r="K56" s="12"/>
      <c r="L56" s="26"/>
      <c r="M56" s="26"/>
    </row>
    <row r="57" spans="1:14" x14ac:dyDescent="0.25">
      <c r="A57" s="34"/>
      <c r="B57" s="39"/>
      <c r="C57" s="341" t="s">
        <v>138</v>
      </c>
      <c r="D57" s="342"/>
      <c r="E57" s="343"/>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139</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140</v>
      </c>
      <c r="D69" s="372" t="s">
        <v>141</v>
      </c>
      <c r="E69" s="336" t="s">
        <v>142</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75</v>
      </c>
      <c r="C71" s="53">
        <v>21.05</v>
      </c>
      <c r="D71" s="54">
        <v>19</v>
      </c>
      <c r="E71" s="54">
        <v>16.25</v>
      </c>
      <c r="F71" s="54">
        <v>13</v>
      </c>
      <c r="G71" s="54">
        <v>22.5</v>
      </c>
      <c r="H71" s="53">
        <v>10.01</v>
      </c>
      <c r="I71" s="53">
        <v>48.55</v>
      </c>
      <c r="J71" s="53">
        <v>54.5</v>
      </c>
      <c r="K71" s="53">
        <v>12.85</v>
      </c>
      <c r="L71" s="53">
        <v>52.55</v>
      </c>
      <c r="M71" s="53">
        <v>64.849999999999994</v>
      </c>
      <c r="N71" s="53">
        <v>29.15</v>
      </c>
    </row>
    <row r="72" spans="1:14" ht="25.5" x14ac:dyDescent="0.2">
      <c r="A72" s="4"/>
      <c r="B72" s="21" t="s">
        <v>76</v>
      </c>
      <c r="C72" s="55">
        <v>28446.12</v>
      </c>
      <c r="D72" s="55">
        <v>28067.31</v>
      </c>
      <c r="E72" s="78">
        <v>26904.11</v>
      </c>
      <c r="F72" s="53">
        <v>25341.86</v>
      </c>
      <c r="G72" s="53">
        <v>29094.61</v>
      </c>
      <c r="H72" s="53">
        <v>22494.61</v>
      </c>
      <c r="I72" s="53">
        <v>29620.5</v>
      </c>
      <c r="J72" s="53">
        <v>28289.919999999998</v>
      </c>
      <c r="K72" s="53">
        <v>25688.86</v>
      </c>
      <c r="L72" s="54">
        <v>32968.68</v>
      </c>
      <c r="M72" s="54">
        <v>36443.980000000003</v>
      </c>
      <c r="N72" s="56">
        <v>29241.48</v>
      </c>
    </row>
    <row r="73" spans="1:14" x14ac:dyDescent="0.2">
      <c r="A73" s="4"/>
      <c r="B73" s="27" t="s">
        <v>77</v>
      </c>
      <c r="C73" s="55">
        <v>850.71</v>
      </c>
      <c r="D73" s="55">
        <v>870.2</v>
      </c>
      <c r="E73" s="55">
        <v>802.3</v>
      </c>
      <c r="F73" s="53">
        <v>767.86</v>
      </c>
      <c r="G73" s="53">
        <v>948</v>
      </c>
      <c r="H73" s="53">
        <v>731.23</v>
      </c>
      <c r="I73" s="54">
        <v>1288.8800000000001</v>
      </c>
      <c r="J73" s="54">
        <v>1263.05</v>
      </c>
      <c r="K73" s="54">
        <v>823.43</v>
      </c>
      <c r="L73" s="54" t="s">
        <v>48</v>
      </c>
      <c r="M73" s="54" t="s">
        <v>48</v>
      </c>
      <c r="N73" s="54" t="s">
        <v>48</v>
      </c>
    </row>
    <row r="74" spans="1:14" x14ac:dyDescent="0.25">
      <c r="A74" s="4"/>
      <c r="B74" s="382" t="s">
        <v>78</v>
      </c>
      <c r="C74" s="382"/>
      <c r="D74" s="382"/>
      <c r="E74" s="382"/>
      <c r="F74" s="382"/>
      <c r="G74" s="382"/>
      <c r="H74" s="382"/>
      <c r="I74" s="382"/>
      <c r="J74" s="382"/>
      <c r="K74" s="382"/>
      <c r="L74" s="382"/>
      <c r="M74" s="382"/>
      <c r="N74" s="382"/>
    </row>
    <row r="75" spans="1:14" ht="13.5" x14ac:dyDescent="0.25">
      <c r="A75" s="4"/>
      <c r="B75" s="383" t="s">
        <v>21</v>
      </c>
      <c r="C75" s="383"/>
      <c r="D75" s="383"/>
      <c r="E75" s="383"/>
      <c r="F75" s="383"/>
      <c r="G75" s="383"/>
      <c r="H75" s="383"/>
      <c r="I75" s="383"/>
      <c r="J75" s="383"/>
      <c r="K75" s="383"/>
      <c r="L75" s="383"/>
      <c r="M75" s="383"/>
      <c r="N75" s="383"/>
    </row>
    <row r="76" spans="1:14" x14ac:dyDescent="0.25">
      <c r="A76" s="4"/>
      <c r="B76" s="382" t="s">
        <v>79</v>
      </c>
      <c r="C76" s="382"/>
      <c r="D76" s="382"/>
      <c r="E76" s="382"/>
      <c r="F76" s="382"/>
      <c r="G76" s="382"/>
      <c r="H76" s="382"/>
      <c r="I76" s="382"/>
      <c r="J76" s="382"/>
      <c r="K76" s="382"/>
      <c r="L76" s="382"/>
      <c r="M76" s="382"/>
      <c r="N76" s="382"/>
    </row>
    <row r="77" spans="1:14" s="57" customFormat="1" x14ac:dyDescent="0.25">
      <c r="B77" s="382" t="s">
        <v>80</v>
      </c>
      <c r="C77" s="382"/>
      <c r="D77" s="382"/>
      <c r="E77" s="382"/>
      <c r="F77" s="382"/>
      <c r="G77" s="382"/>
      <c r="H77" s="382"/>
      <c r="I77" s="382"/>
      <c r="J77" s="382"/>
      <c r="K77" s="382"/>
      <c r="L77" s="382"/>
      <c r="M77" s="382"/>
      <c r="N77" s="382"/>
    </row>
    <row r="78" spans="1:14" x14ac:dyDescent="0.25">
      <c r="A78" s="4"/>
      <c r="B78" s="382" t="s">
        <v>117</v>
      </c>
      <c r="C78" s="382"/>
      <c r="D78" s="382"/>
      <c r="E78" s="382"/>
      <c r="F78" s="382"/>
      <c r="G78" s="382"/>
      <c r="H78" s="382"/>
      <c r="I78" s="382"/>
      <c r="J78" s="382"/>
      <c r="K78" s="382"/>
      <c r="L78" s="382"/>
      <c r="M78" s="382"/>
      <c r="N78" s="382"/>
    </row>
    <row r="79" spans="1:14" x14ac:dyDescent="0.25">
      <c r="A79" s="4"/>
      <c r="B79" s="382" t="s">
        <v>82</v>
      </c>
      <c r="C79" s="382"/>
      <c r="D79" s="382"/>
      <c r="E79" s="382"/>
      <c r="F79" s="382"/>
      <c r="G79" s="382"/>
      <c r="H79" s="382"/>
      <c r="I79" s="382"/>
      <c r="J79" s="382"/>
      <c r="K79" s="382"/>
      <c r="L79" s="382"/>
      <c r="M79" s="382"/>
      <c r="N79" s="382"/>
    </row>
    <row r="80" spans="1:14" x14ac:dyDescent="0.25">
      <c r="A80" s="4"/>
      <c r="B80" s="58"/>
      <c r="C80" s="58"/>
      <c r="D80" s="58"/>
      <c r="E80" s="58"/>
      <c r="F80" s="58"/>
      <c r="G80" s="17"/>
      <c r="H80" s="17"/>
      <c r="I80" s="17"/>
      <c r="J80" s="17"/>
      <c r="K80" s="17"/>
      <c r="L80" s="17"/>
      <c r="M80" s="17"/>
      <c r="N80" s="17"/>
    </row>
    <row r="81" spans="1:14" x14ac:dyDescent="0.25">
      <c r="A81" s="13">
        <v>13</v>
      </c>
      <c r="B81" s="338" t="s">
        <v>83</v>
      </c>
      <c r="C81" s="339"/>
      <c r="D81" s="339"/>
      <c r="E81" s="339"/>
      <c r="F81" s="339"/>
      <c r="G81" s="340"/>
      <c r="H81" s="15"/>
      <c r="I81" s="15"/>
      <c r="J81" s="15"/>
      <c r="K81" s="15"/>
      <c r="L81" s="15"/>
      <c r="M81" s="15"/>
      <c r="N81" s="15"/>
    </row>
    <row r="82" spans="1:14" x14ac:dyDescent="0.25">
      <c r="A82" s="13"/>
      <c r="B82" s="26"/>
      <c r="C82" s="19"/>
      <c r="D82" s="19"/>
      <c r="E82" s="19"/>
      <c r="F82" s="19"/>
      <c r="G82" s="19"/>
      <c r="H82" s="19"/>
      <c r="I82" s="19"/>
      <c r="J82" s="19"/>
      <c r="K82" s="19"/>
      <c r="L82" s="19"/>
      <c r="M82" s="19"/>
      <c r="N82" s="19"/>
    </row>
    <row r="83" spans="1:14" ht="102" x14ac:dyDescent="0.25">
      <c r="A83" s="4"/>
      <c r="B83" s="59" t="s">
        <v>84</v>
      </c>
      <c r="C83" s="22" t="s">
        <v>85</v>
      </c>
      <c r="D83" s="22" t="s">
        <v>86</v>
      </c>
      <c r="E83" s="22" t="s">
        <v>143</v>
      </c>
      <c r="F83" s="22" t="s">
        <v>88</v>
      </c>
      <c r="G83" s="22" t="s">
        <v>119</v>
      </c>
      <c r="H83" s="17"/>
      <c r="I83" s="17"/>
      <c r="J83" s="17"/>
      <c r="K83" s="17"/>
      <c r="L83" s="17"/>
      <c r="M83" s="17"/>
      <c r="N83" s="17"/>
    </row>
    <row r="84" spans="1:14" ht="12.75" customHeight="1" x14ac:dyDescent="0.2">
      <c r="A84" s="4"/>
      <c r="B84" s="316" t="s">
        <v>90</v>
      </c>
      <c r="C84" s="5" t="s">
        <v>144</v>
      </c>
      <c r="D84" s="79">
        <v>4.1500000000000004</v>
      </c>
      <c r="E84" s="61">
        <v>0.84</v>
      </c>
      <c r="F84" s="80">
        <v>3.21</v>
      </c>
      <c r="G84" s="80">
        <v>2.34</v>
      </c>
      <c r="H84" s="62"/>
      <c r="I84" s="62"/>
      <c r="J84" s="62"/>
      <c r="K84" s="62"/>
      <c r="L84" s="62"/>
      <c r="M84" s="62"/>
      <c r="N84" s="62"/>
    </row>
    <row r="85" spans="1:14" x14ac:dyDescent="0.25">
      <c r="A85" s="4"/>
      <c r="B85" s="316"/>
      <c r="C85" s="5" t="s">
        <v>92</v>
      </c>
      <c r="D85" s="63"/>
      <c r="E85" s="61"/>
      <c r="F85" s="80"/>
      <c r="G85" s="80"/>
      <c r="H85" s="62"/>
      <c r="I85" s="62"/>
      <c r="J85" s="62"/>
      <c r="K85" s="62"/>
      <c r="L85" s="62"/>
      <c r="M85" s="62"/>
      <c r="N85" s="62"/>
    </row>
    <row r="86" spans="1:14" x14ac:dyDescent="0.2">
      <c r="A86" s="4"/>
      <c r="B86" s="316"/>
      <c r="C86" s="77" t="s">
        <v>145</v>
      </c>
      <c r="D86" s="63">
        <v>12.2</v>
      </c>
      <c r="E86" s="61">
        <v>14.1</v>
      </c>
      <c r="F86" s="80">
        <v>15.51</v>
      </c>
      <c r="G86" s="80">
        <v>16.98</v>
      </c>
      <c r="H86" s="62"/>
      <c r="I86" s="62"/>
      <c r="J86" s="62"/>
      <c r="K86" s="62"/>
      <c r="L86" s="62"/>
      <c r="M86" s="62"/>
      <c r="N86" s="62"/>
    </row>
    <row r="87" spans="1:14" x14ac:dyDescent="0.2">
      <c r="A87" s="4"/>
      <c r="B87" s="316"/>
      <c r="C87" s="77" t="s">
        <v>146</v>
      </c>
      <c r="D87" s="63">
        <v>194.8</v>
      </c>
      <c r="E87" s="61">
        <v>236.63</v>
      </c>
      <c r="F87" s="80">
        <v>256.54000000000002</v>
      </c>
      <c r="G87" s="80">
        <v>161.81</v>
      </c>
      <c r="H87" s="62"/>
      <c r="I87" s="62"/>
      <c r="J87" s="62"/>
      <c r="K87" s="62"/>
      <c r="L87" s="62"/>
      <c r="M87" s="62"/>
      <c r="N87" s="62"/>
    </row>
    <row r="88" spans="1:14" x14ac:dyDescent="0.2">
      <c r="A88" s="4"/>
      <c r="B88" s="316"/>
      <c r="C88" s="77" t="s">
        <v>147</v>
      </c>
      <c r="D88" s="63">
        <v>11.7</v>
      </c>
      <c r="E88" s="61">
        <v>12.56</v>
      </c>
      <c r="F88" s="80">
        <v>19.309999999999999</v>
      </c>
      <c r="G88" s="80">
        <v>19.41</v>
      </c>
      <c r="H88" s="62"/>
      <c r="I88" s="62"/>
      <c r="J88" s="62"/>
      <c r="K88" s="62"/>
      <c r="L88" s="62"/>
      <c r="M88" s="62"/>
      <c r="N88" s="62"/>
    </row>
    <row r="89" spans="1:14" x14ac:dyDescent="0.2">
      <c r="A89" s="4"/>
      <c r="B89" s="316"/>
      <c r="C89" s="5" t="s">
        <v>93</v>
      </c>
      <c r="D89" s="79" t="s">
        <v>48</v>
      </c>
      <c r="E89" s="64">
        <f>E86+E87+E88/3</f>
        <v>254.91666666666666</v>
      </c>
      <c r="F89" s="80">
        <v>73.64</v>
      </c>
      <c r="G89" s="80"/>
      <c r="H89" s="62"/>
      <c r="I89" s="62"/>
      <c r="J89" s="62"/>
      <c r="K89" s="62"/>
      <c r="L89" s="62"/>
      <c r="M89" s="62"/>
      <c r="N89" s="62"/>
    </row>
    <row r="90" spans="1:14" x14ac:dyDescent="0.2">
      <c r="A90" s="4"/>
      <c r="B90" s="316" t="s">
        <v>94</v>
      </c>
      <c r="C90" s="5" t="s">
        <v>144</v>
      </c>
      <c r="D90" s="79">
        <v>4.33</v>
      </c>
      <c r="E90" s="61">
        <v>15.48</v>
      </c>
      <c r="F90" s="80">
        <v>15.12</v>
      </c>
      <c r="G90" s="85">
        <f>52.55/2.34</f>
        <v>22.457264957264957</v>
      </c>
      <c r="H90" s="62"/>
      <c r="I90" s="62"/>
      <c r="J90" s="62"/>
      <c r="K90" s="62"/>
      <c r="L90" s="62"/>
      <c r="M90" s="62"/>
      <c r="N90" s="62"/>
    </row>
    <row r="91" spans="1:14" x14ac:dyDescent="0.2">
      <c r="A91" s="4"/>
      <c r="B91" s="316"/>
      <c r="C91" s="5" t="s">
        <v>92</v>
      </c>
      <c r="D91" s="79"/>
      <c r="E91" s="61"/>
      <c r="F91" s="80"/>
      <c r="G91" s="80"/>
      <c r="H91" s="62"/>
      <c r="I91" s="62"/>
      <c r="J91" s="62"/>
      <c r="K91" s="62"/>
      <c r="L91" s="62"/>
      <c r="M91" s="62"/>
      <c r="N91" s="62"/>
    </row>
    <row r="92" spans="1:14" x14ac:dyDescent="0.2">
      <c r="A92" s="4"/>
      <c r="B92" s="316"/>
      <c r="C92" s="77" t="s">
        <v>145</v>
      </c>
      <c r="D92" s="79">
        <v>10.7</v>
      </c>
      <c r="E92" s="61">
        <v>8.6199999999999992</v>
      </c>
      <c r="F92" s="80">
        <v>11.68</v>
      </c>
      <c r="G92" s="85">
        <f>162.7/16.98</f>
        <v>9.5818610129564181</v>
      </c>
      <c r="H92" s="62"/>
      <c r="I92" s="62"/>
      <c r="J92" s="62"/>
      <c r="K92" s="62"/>
      <c r="L92" s="62"/>
      <c r="M92" s="62"/>
      <c r="N92" s="62"/>
    </row>
    <row r="93" spans="1:14" x14ac:dyDescent="0.2">
      <c r="A93" s="4"/>
      <c r="B93" s="316"/>
      <c r="C93" s="77" t="s">
        <v>146</v>
      </c>
      <c r="D93" s="83">
        <v>31.6</v>
      </c>
      <c r="E93" s="61">
        <v>17.309999999999999</v>
      </c>
      <c r="F93" s="80">
        <v>23.47</v>
      </c>
      <c r="G93" s="85">
        <f>6506.2/161.81</f>
        <v>40.208886966194918</v>
      </c>
      <c r="H93" s="62"/>
      <c r="I93" s="62"/>
      <c r="J93" s="62"/>
      <c r="K93" s="62"/>
      <c r="L93" s="62"/>
      <c r="M93" s="62"/>
      <c r="N93" s="62"/>
    </row>
    <row r="94" spans="1:14" x14ac:dyDescent="0.2">
      <c r="A94" s="4"/>
      <c r="B94" s="316"/>
      <c r="C94" s="77" t="s">
        <v>147</v>
      </c>
      <c r="D94" s="79">
        <v>21.5</v>
      </c>
      <c r="E94" s="61">
        <v>20.05</v>
      </c>
      <c r="F94" s="80">
        <v>26.97</v>
      </c>
      <c r="G94" s="85">
        <f>687.5/19.41</f>
        <v>35.419886656362699</v>
      </c>
      <c r="H94" s="62"/>
      <c r="I94" s="62"/>
      <c r="J94" s="62"/>
      <c r="K94" s="62"/>
      <c r="L94" s="62"/>
      <c r="M94" s="62"/>
      <c r="N94" s="62"/>
    </row>
    <row r="95" spans="1:14" x14ac:dyDescent="0.2">
      <c r="A95" s="4"/>
      <c r="B95" s="316"/>
      <c r="C95" s="5" t="s">
        <v>93</v>
      </c>
      <c r="D95" s="79" t="s">
        <v>48</v>
      </c>
      <c r="E95" s="64">
        <f>E92+E93+E94/3</f>
        <v>32.61333333333333</v>
      </c>
      <c r="F95" s="80">
        <v>19.309999999999999</v>
      </c>
      <c r="G95" s="80"/>
      <c r="H95" s="62"/>
      <c r="I95" s="62"/>
      <c r="J95" s="62"/>
      <c r="K95" s="62"/>
      <c r="L95" s="62"/>
      <c r="M95" s="62"/>
      <c r="N95" s="62"/>
    </row>
    <row r="96" spans="1:14" x14ac:dyDescent="0.2">
      <c r="A96" s="4"/>
      <c r="B96" s="316" t="s">
        <v>95</v>
      </c>
      <c r="C96" s="5" t="s">
        <v>148</v>
      </c>
      <c r="D96" s="79">
        <v>30.81</v>
      </c>
      <c r="E96" s="61">
        <v>5.99</v>
      </c>
      <c r="F96" s="80">
        <v>18.68</v>
      </c>
      <c r="G96" s="86">
        <f>19909.01/137790.3</f>
        <v>0.14448774696041738</v>
      </c>
      <c r="H96" s="62"/>
      <c r="I96" s="62"/>
      <c r="J96" s="62"/>
      <c r="K96" s="62"/>
      <c r="L96" s="62"/>
      <c r="M96" s="62"/>
      <c r="N96" s="62"/>
    </row>
    <row r="97" spans="1:14" x14ac:dyDescent="0.2">
      <c r="A97" s="4"/>
      <c r="B97" s="316"/>
      <c r="C97" s="5" t="s">
        <v>92</v>
      </c>
      <c r="D97" s="79"/>
      <c r="E97" s="61"/>
      <c r="F97" s="80"/>
      <c r="G97" s="80"/>
      <c r="H97" s="62"/>
      <c r="I97" s="62"/>
      <c r="J97" s="62"/>
      <c r="K97" s="62"/>
      <c r="L97" s="62"/>
      <c r="M97" s="62"/>
      <c r="N97" s="62"/>
    </row>
    <row r="98" spans="1:14" x14ac:dyDescent="0.2">
      <c r="A98" s="4"/>
      <c r="B98" s="316"/>
      <c r="C98" s="77" t="s">
        <v>145</v>
      </c>
      <c r="D98" s="79">
        <v>9.8000000000000007</v>
      </c>
      <c r="E98" s="61">
        <v>12.07</v>
      </c>
      <c r="F98" s="80">
        <v>11.72</v>
      </c>
      <c r="G98" s="86">
        <f>847.56/7402.3</f>
        <v>0.11449954743795847</v>
      </c>
      <c r="H98" s="62"/>
      <c r="I98" s="62"/>
      <c r="J98" s="62"/>
      <c r="K98" s="62"/>
      <c r="L98" s="62"/>
      <c r="M98" s="62"/>
      <c r="N98" s="62"/>
    </row>
    <row r="99" spans="1:14" x14ac:dyDescent="0.2">
      <c r="A99" s="4"/>
      <c r="B99" s="316"/>
      <c r="C99" s="77" t="s">
        <v>146</v>
      </c>
      <c r="D99" s="83">
        <v>14.7</v>
      </c>
      <c r="E99" s="61">
        <v>18.78</v>
      </c>
      <c r="F99" s="80">
        <v>16.73</v>
      </c>
      <c r="G99" s="86">
        <f>12013/122284</f>
        <v>9.8238526708318341E-2</v>
      </c>
      <c r="H99" s="62"/>
      <c r="I99" s="62"/>
      <c r="J99" s="62"/>
      <c r="K99" s="62"/>
      <c r="L99" s="62"/>
      <c r="M99" s="62"/>
      <c r="N99" s="62"/>
    </row>
    <row r="100" spans="1:14" x14ac:dyDescent="0.2">
      <c r="A100" s="4"/>
      <c r="B100" s="316"/>
      <c r="C100" s="77" t="s">
        <v>147</v>
      </c>
      <c r="D100" s="79">
        <v>12.7</v>
      </c>
      <c r="E100" s="61">
        <v>12.98</v>
      </c>
      <c r="F100" s="80">
        <v>17.02</v>
      </c>
      <c r="G100" s="86">
        <f>280.4/1858.05</f>
        <v>0.15091090121363795</v>
      </c>
      <c r="H100" s="62"/>
      <c r="I100" s="62"/>
      <c r="J100" s="62"/>
      <c r="K100" s="62"/>
      <c r="L100" s="62"/>
      <c r="M100" s="62"/>
      <c r="N100" s="62"/>
    </row>
    <row r="101" spans="1:14" x14ac:dyDescent="0.2">
      <c r="A101" s="4"/>
      <c r="B101" s="316"/>
      <c r="C101" s="5" t="s">
        <v>93</v>
      </c>
      <c r="D101" s="79" t="s">
        <v>48</v>
      </c>
      <c r="E101" s="64">
        <f>E98+E99+E100/3</f>
        <v>35.176666666666669</v>
      </c>
      <c r="F101" s="80">
        <v>16.04</v>
      </c>
      <c r="G101" s="80"/>
      <c r="H101" s="62"/>
      <c r="I101" s="62"/>
      <c r="J101" s="62"/>
      <c r="K101" s="66"/>
      <c r="L101" s="62"/>
      <c r="M101" s="62"/>
      <c r="N101" s="62"/>
    </row>
    <row r="102" spans="1:14" x14ac:dyDescent="0.2">
      <c r="A102" s="4"/>
      <c r="B102" s="67" t="s">
        <v>96</v>
      </c>
      <c r="C102" s="5" t="s">
        <v>144</v>
      </c>
      <c r="D102" s="79">
        <v>21.39</v>
      </c>
      <c r="E102" s="61">
        <v>14.01</v>
      </c>
      <c r="F102" s="80">
        <v>17.190000000000001</v>
      </c>
      <c r="G102" s="85">
        <f>137790.3/10200</f>
        <v>13.508852941176469</v>
      </c>
      <c r="H102" s="62"/>
      <c r="I102" s="62"/>
      <c r="J102" s="62"/>
      <c r="K102" s="62"/>
      <c r="L102" s="62"/>
      <c r="M102" s="62"/>
      <c r="N102" s="62"/>
    </row>
    <row r="103" spans="1:14" x14ac:dyDescent="0.2">
      <c r="A103" s="4"/>
      <c r="B103" s="69"/>
      <c r="C103" s="5" t="s">
        <v>92</v>
      </c>
      <c r="D103" s="79"/>
      <c r="E103" s="61"/>
      <c r="F103" s="80"/>
      <c r="G103" s="80"/>
      <c r="H103" s="62"/>
      <c r="I103" s="62"/>
      <c r="J103" s="62"/>
      <c r="K103" s="62"/>
      <c r="L103" s="62"/>
      <c r="M103" s="62"/>
      <c r="N103" s="62"/>
    </row>
    <row r="104" spans="1:14" x14ac:dyDescent="0.2">
      <c r="A104" s="4"/>
      <c r="B104" s="69"/>
      <c r="C104" s="77" t="s">
        <v>145</v>
      </c>
      <c r="D104" s="79">
        <v>105.4</v>
      </c>
      <c r="E104" s="61">
        <v>116.82</v>
      </c>
      <c r="F104" s="80">
        <v>132.34</v>
      </c>
      <c r="G104" s="85">
        <f>7402.3/50.702</f>
        <v>145.99621316713345</v>
      </c>
      <c r="H104" s="62"/>
      <c r="I104" s="62"/>
      <c r="J104" s="62"/>
      <c r="K104" s="62"/>
      <c r="L104" s="62"/>
      <c r="M104" s="62"/>
      <c r="N104" s="62"/>
    </row>
    <row r="105" spans="1:14" x14ac:dyDescent="0.2">
      <c r="A105" s="4"/>
      <c r="B105" s="69"/>
      <c r="C105" s="77" t="s">
        <v>146</v>
      </c>
      <c r="D105" s="79">
        <v>1047.3</v>
      </c>
      <c r="E105" s="61">
        <v>1259.93</v>
      </c>
      <c r="F105" s="80">
        <v>1531.29</v>
      </c>
      <c r="G105" s="85">
        <f>122284/73.5</f>
        <v>1663.7278911564626</v>
      </c>
      <c r="H105" s="62"/>
      <c r="I105" s="62"/>
      <c r="J105" s="62"/>
      <c r="K105" s="62"/>
      <c r="L105" s="62"/>
      <c r="M105" s="62"/>
      <c r="N105" s="62"/>
    </row>
    <row r="106" spans="1:14" x14ac:dyDescent="0.2">
      <c r="A106" s="4"/>
      <c r="B106" s="69"/>
      <c r="C106" s="77" t="s">
        <v>147</v>
      </c>
      <c r="D106" s="79">
        <v>87.5</v>
      </c>
      <c r="E106" s="61">
        <v>96.73</v>
      </c>
      <c r="F106" s="80">
        <v>111.48</v>
      </c>
      <c r="G106" s="85">
        <f>1858.05/14.615</f>
        <v>127.13308244953814</v>
      </c>
      <c r="H106" s="62"/>
      <c r="I106" s="62"/>
      <c r="J106" s="62"/>
      <c r="K106" s="62"/>
      <c r="L106" s="62"/>
      <c r="M106" s="62"/>
      <c r="N106" s="62"/>
    </row>
    <row r="107" spans="1:14" x14ac:dyDescent="0.2">
      <c r="A107" s="4"/>
      <c r="B107" s="69"/>
      <c r="C107" s="5" t="s">
        <v>93</v>
      </c>
      <c r="D107" s="79" t="s">
        <v>48</v>
      </c>
      <c r="E107" s="64">
        <f>E104+E106+E105/3</f>
        <v>633.52666666666664</v>
      </c>
      <c r="F107" s="80">
        <v>448.07</v>
      </c>
      <c r="G107" s="80"/>
      <c r="H107" s="62"/>
      <c r="I107" s="62"/>
      <c r="J107" s="62"/>
      <c r="K107" s="62"/>
      <c r="L107" s="62"/>
      <c r="M107" s="62"/>
      <c r="N107" s="62"/>
    </row>
    <row r="108" spans="1:14" x14ac:dyDescent="0.25">
      <c r="A108" s="4"/>
      <c r="B108" s="376" t="s">
        <v>149</v>
      </c>
      <c r="C108" s="377"/>
      <c r="D108" s="377"/>
      <c r="E108" s="377"/>
      <c r="F108" s="377"/>
      <c r="G108" s="378"/>
      <c r="H108" s="62"/>
      <c r="I108" s="62"/>
      <c r="J108" s="62"/>
      <c r="K108" s="62"/>
      <c r="L108" s="62"/>
      <c r="M108" s="62"/>
      <c r="N108" s="62"/>
    </row>
    <row r="109" spans="1:14" x14ac:dyDescent="0.25">
      <c r="A109" s="4"/>
      <c r="B109" s="379" t="s">
        <v>128</v>
      </c>
      <c r="C109" s="380"/>
      <c r="D109" s="380"/>
      <c r="E109" s="380"/>
      <c r="F109" s="380"/>
      <c r="G109" s="381"/>
      <c r="H109" s="62"/>
      <c r="I109" s="62"/>
      <c r="J109" s="62"/>
      <c r="K109" s="62"/>
      <c r="L109" s="62"/>
      <c r="M109" s="62"/>
      <c r="N109" s="62"/>
    </row>
    <row r="110" spans="1:14" x14ac:dyDescent="0.25">
      <c r="A110" s="4"/>
      <c r="B110" s="353"/>
      <c r="C110" s="354"/>
      <c r="D110" s="354"/>
      <c r="E110" s="354"/>
      <c r="F110" s="354"/>
      <c r="G110" s="355"/>
      <c r="H110" s="62"/>
      <c r="I110" s="62"/>
      <c r="J110" s="62"/>
      <c r="K110" s="62"/>
      <c r="L110" s="62"/>
      <c r="M110" s="62"/>
      <c r="N110" s="62"/>
    </row>
    <row r="111" spans="1:14" x14ac:dyDescent="0.25">
      <c r="A111" s="26"/>
      <c r="B111" s="12"/>
      <c r="C111" s="323"/>
      <c r="D111" s="323"/>
      <c r="E111" s="323"/>
      <c r="F111" s="323"/>
      <c r="G111" s="323"/>
      <c r="H111" s="62"/>
      <c r="I111" s="62"/>
      <c r="J111" s="26"/>
      <c r="K111" s="26"/>
      <c r="L111" s="26"/>
      <c r="M111" s="26"/>
      <c r="N111" s="26"/>
    </row>
    <row r="112" spans="1:14" x14ac:dyDescent="0.25">
      <c r="A112" s="13">
        <v>14</v>
      </c>
      <c r="B112" s="70" t="s">
        <v>99</v>
      </c>
      <c r="C112" s="324" t="s">
        <v>16</v>
      </c>
      <c r="D112" s="325"/>
      <c r="E112" s="325"/>
      <c r="F112" s="325"/>
      <c r="G112" s="326"/>
      <c r="H112" s="26"/>
      <c r="I112" s="26"/>
      <c r="J112" s="26"/>
      <c r="K112" s="26"/>
      <c r="L112" s="26"/>
      <c r="M112" s="26"/>
      <c r="N112" s="26"/>
    </row>
    <row r="113" spans="1:14" x14ac:dyDescent="0.25">
      <c r="A113" s="71"/>
      <c r="B113" s="26"/>
      <c r="C113" s="84"/>
      <c r="D113" s="84"/>
      <c r="E113" s="84"/>
      <c r="F113" s="84"/>
      <c r="G113" s="84"/>
      <c r="H113" s="26"/>
      <c r="I113" s="26"/>
      <c r="J113" s="26"/>
      <c r="K113" s="26"/>
      <c r="L113" s="26"/>
      <c r="M113" s="26"/>
      <c r="N113" s="26"/>
    </row>
    <row r="114" spans="1:14" x14ac:dyDescent="0.25">
      <c r="A114" s="26"/>
      <c r="B114" s="374" t="s">
        <v>150</v>
      </c>
      <c r="C114" s="375"/>
      <c r="D114" s="375"/>
      <c r="E114" s="375"/>
      <c r="F114" s="375"/>
      <c r="G114" s="375"/>
      <c r="H114" s="375"/>
      <c r="I114" s="26"/>
      <c r="J114" s="26"/>
      <c r="K114" s="26"/>
      <c r="L114" s="26"/>
      <c r="M114" s="26"/>
      <c r="N114" s="26"/>
    </row>
    <row r="115" spans="1:14" x14ac:dyDescent="0.25">
      <c r="A115" s="26"/>
      <c r="B115" s="26"/>
      <c r="C115" s="26"/>
      <c r="D115" s="26"/>
      <c r="E115" s="26"/>
      <c r="F115" s="26"/>
      <c r="G115" s="26"/>
      <c r="H115" s="26"/>
      <c r="I115" s="26"/>
      <c r="J115" s="26"/>
      <c r="K115" s="26"/>
      <c r="L115" s="26"/>
      <c r="M115" s="26"/>
      <c r="N115" s="26"/>
    </row>
    <row r="116" spans="1:14" x14ac:dyDescent="0.25">
      <c r="A116" s="26"/>
      <c r="B116" s="26"/>
      <c r="C116" s="26"/>
      <c r="D116" s="26"/>
      <c r="E116" s="26"/>
      <c r="F116" s="26"/>
      <c r="G116" s="26"/>
      <c r="H116" s="26"/>
      <c r="I116" s="26"/>
      <c r="J116" s="26"/>
      <c r="K116" s="26"/>
      <c r="L116" s="26"/>
      <c r="M116" s="26"/>
      <c r="N116" s="26"/>
    </row>
  </sheetData>
  <sheetProtection password="E9DF" sheet="1" objects="1" scenarios="1"/>
  <mergeCells count="62">
    <mergeCell ref="C21:E21"/>
    <mergeCell ref="A1:B1"/>
    <mergeCell ref="C5:E5"/>
    <mergeCell ref="B6:D6"/>
    <mergeCell ref="B9:D9"/>
    <mergeCell ref="C11:E11"/>
    <mergeCell ref="B12:D12"/>
    <mergeCell ref="B15:C15"/>
    <mergeCell ref="B17:E17"/>
    <mergeCell ref="C18:E18"/>
    <mergeCell ref="C19:E19"/>
    <mergeCell ref="C20:E20"/>
    <mergeCell ref="C43:E43"/>
    <mergeCell ref="C22:E22"/>
    <mergeCell ref="B23:E23"/>
    <mergeCell ref="B26:E26"/>
    <mergeCell ref="B27:E27"/>
    <mergeCell ref="B33:E33"/>
    <mergeCell ref="B35:E35"/>
    <mergeCell ref="C36:E36"/>
    <mergeCell ref="C37:E37"/>
    <mergeCell ref="C38:E38"/>
    <mergeCell ref="B39:E39"/>
    <mergeCell ref="B42:E42"/>
    <mergeCell ref="C58:E58"/>
    <mergeCell ref="C44:E44"/>
    <mergeCell ref="C45:E45"/>
    <mergeCell ref="B46:E46"/>
    <mergeCell ref="B48:E48"/>
    <mergeCell ref="B51:E51"/>
    <mergeCell ref="B53:E53"/>
    <mergeCell ref="B54:B55"/>
    <mergeCell ref="C54:E54"/>
    <mergeCell ref="C55:E55"/>
    <mergeCell ref="C56:E56"/>
    <mergeCell ref="C57:E57"/>
    <mergeCell ref="B59:E59"/>
    <mergeCell ref="B60:E60"/>
    <mergeCell ref="C63:E63"/>
    <mergeCell ref="B69:B70"/>
    <mergeCell ref="C69:C70"/>
    <mergeCell ref="D69:D70"/>
    <mergeCell ref="E69:E70"/>
    <mergeCell ref="B90:B95"/>
    <mergeCell ref="F69:H69"/>
    <mergeCell ref="I69:K69"/>
    <mergeCell ref="L69:N69"/>
    <mergeCell ref="B74:N74"/>
    <mergeCell ref="B75:N75"/>
    <mergeCell ref="B76:N76"/>
    <mergeCell ref="B77:N77"/>
    <mergeCell ref="B78:N78"/>
    <mergeCell ref="B79:N79"/>
    <mergeCell ref="B81:G81"/>
    <mergeCell ref="B84:B89"/>
    <mergeCell ref="B114:H114"/>
    <mergeCell ref="B96:B101"/>
    <mergeCell ref="B108:G108"/>
    <mergeCell ref="B109:G109"/>
    <mergeCell ref="B110:G110"/>
    <mergeCell ref="C111:G111"/>
    <mergeCell ref="C112:G1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opLeftCell="A43" workbookViewId="0">
      <selection activeCell="J58" sqref="J58"/>
    </sheetView>
  </sheetViews>
  <sheetFormatPr defaultColWidth="8.85546875" defaultRowHeight="12.75" x14ac:dyDescent="0.25"/>
  <cols>
    <col min="1" max="1" width="8.85546875" style="73"/>
    <col min="2" max="3" width="40.85546875" style="73" customWidth="1"/>
    <col min="4" max="4" width="21.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575</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576</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577</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27" customHeight="1"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208" t="s">
        <v>548</v>
      </c>
      <c r="C19" s="363" t="s">
        <v>16</v>
      </c>
      <c r="D19" s="363"/>
      <c r="E19" s="363"/>
      <c r="F19" s="19"/>
      <c r="G19" s="17"/>
      <c r="I19" s="17"/>
      <c r="J19" s="17"/>
      <c r="K19" s="17"/>
      <c r="L19" s="17"/>
      <c r="M19" s="17"/>
      <c r="N19" s="17"/>
    </row>
    <row r="20" spans="1:14" x14ac:dyDescent="0.25">
      <c r="A20" s="13"/>
      <c r="B20" s="228" t="s">
        <v>18</v>
      </c>
      <c r="C20" s="363" t="s">
        <v>16</v>
      </c>
      <c r="D20" s="363"/>
      <c r="E20" s="36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426" t="s">
        <v>16</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26</v>
      </c>
      <c r="E28" s="226" t="s">
        <v>355</v>
      </c>
      <c r="F28" s="19"/>
      <c r="G28" s="26"/>
      <c r="H28" s="26"/>
      <c r="I28" s="26"/>
      <c r="J28" s="26"/>
      <c r="K28" s="26"/>
      <c r="L28" s="26"/>
      <c r="M28" s="26"/>
      <c r="N28" s="26"/>
    </row>
    <row r="29" spans="1:14" x14ac:dyDescent="0.25">
      <c r="A29" s="13"/>
      <c r="B29" s="230" t="s">
        <v>28</v>
      </c>
      <c r="C29" s="25">
        <v>65974.13</v>
      </c>
      <c r="D29" s="25">
        <v>49318.05</v>
      </c>
      <c r="E29" s="113">
        <v>80861.55</v>
      </c>
      <c r="F29" s="19"/>
      <c r="G29" s="26"/>
      <c r="H29" s="26"/>
      <c r="I29" s="26"/>
      <c r="J29" s="26"/>
      <c r="K29" s="26"/>
      <c r="L29" s="26"/>
      <c r="M29" s="26"/>
      <c r="N29" s="26"/>
    </row>
    <row r="30" spans="1:14" x14ac:dyDescent="0.25">
      <c r="A30" s="13"/>
      <c r="B30" s="230" t="s">
        <v>29</v>
      </c>
      <c r="C30" s="25">
        <v>814.65</v>
      </c>
      <c r="D30" s="25">
        <v>530.1</v>
      </c>
      <c r="E30" s="113">
        <v>1644.73</v>
      </c>
      <c r="F30" s="19"/>
      <c r="G30" s="26"/>
      <c r="H30" s="26"/>
      <c r="I30" s="26"/>
      <c r="J30" s="26"/>
      <c r="K30" s="26"/>
      <c r="L30" s="26"/>
      <c r="M30" s="26"/>
      <c r="N30" s="26"/>
    </row>
    <row r="31" spans="1:14" x14ac:dyDescent="0.25">
      <c r="A31" s="13"/>
      <c r="B31" s="230" t="s">
        <v>30</v>
      </c>
      <c r="C31" s="25">
        <v>2225.4899999999998</v>
      </c>
      <c r="D31" s="25">
        <v>2225.4899999999998</v>
      </c>
      <c r="E31" s="113">
        <v>2225.4899999999998</v>
      </c>
      <c r="F31" s="19" t="s">
        <v>750</v>
      </c>
      <c r="G31" s="26"/>
      <c r="H31" s="26"/>
      <c r="I31" s="26"/>
      <c r="J31" s="26"/>
      <c r="K31" s="26"/>
      <c r="L31" s="26"/>
      <c r="M31" s="26"/>
      <c r="N31" s="26"/>
    </row>
    <row r="32" spans="1:14" x14ac:dyDescent="0.25">
      <c r="A32" s="13"/>
      <c r="B32" s="230" t="s">
        <v>31</v>
      </c>
      <c r="C32" s="25">
        <v>1882.41</v>
      </c>
      <c r="D32" s="25">
        <v>3061.46</v>
      </c>
      <c r="E32" s="113">
        <v>4706.1899999999996</v>
      </c>
      <c r="F32" s="19"/>
      <c r="G32" s="26"/>
      <c r="H32" s="26"/>
      <c r="I32" s="26"/>
      <c r="J32" s="26"/>
      <c r="K32" s="26"/>
      <c r="L32" s="26"/>
      <c r="M32" s="26"/>
      <c r="N32" s="26"/>
    </row>
    <row r="33" spans="1:14" x14ac:dyDescent="0.25">
      <c r="A33" s="13"/>
      <c r="B33" s="353" t="s">
        <v>290</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36" t="s">
        <v>873</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16</v>
      </c>
      <c r="D43" s="351"/>
      <c r="E43" s="352"/>
      <c r="F43" s="17"/>
      <c r="G43" s="26"/>
      <c r="H43" s="26"/>
      <c r="I43" s="26"/>
      <c r="J43" s="26"/>
      <c r="K43" s="26"/>
      <c r="L43" s="26"/>
      <c r="M43" s="26"/>
      <c r="N43" s="26"/>
    </row>
    <row r="44" spans="1:14" x14ac:dyDescent="0.25">
      <c r="A44" s="13"/>
      <c r="B44" s="227" t="s">
        <v>36</v>
      </c>
      <c r="C44" s="350" t="s">
        <v>813</v>
      </c>
      <c r="D44" s="351"/>
      <c r="E44" s="352"/>
      <c r="F44" s="17"/>
      <c r="G44" s="26"/>
      <c r="H44" s="26"/>
      <c r="I44" s="26"/>
      <c r="J44" s="26"/>
      <c r="K44" s="26"/>
      <c r="L44" s="26"/>
      <c r="M44" s="26"/>
      <c r="N44" s="26"/>
    </row>
    <row r="45" spans="1:14" x14ac:dyDescent="0.25">
      <c r="A45" s="13"/>
      <c r="B45" s="227" t="s">
        <v>37</v>
      </c>
      <c r="C45" s="350" t="s">
        <v>867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76.5" x14ac:dyDescent="0.25">
      <c r="A50" s="34"/>
      <c r="B50" s="94" t="s">
        <v>369</v>
      </c>
      <c r="C50" s="94" t="s">
        <v>578</v>
      </c>
      <c r="D50" s="133" t="s">
        <v>730</v>
      </c>
      <c r="E50" s="94" t="s">
        <v>125</v>
      </c>
      <c r="F50" s="26"/>
      <c r="G50" s="26"/>
      <c r="H50" s="26"/>
      <c r="I50" s="26"/>
      <c r="J50" s="26"/>
      <c r="K50" s="26"/>
      <c r="L50" s="26"/>
      <c r="M50" s="26"/>
    </row>
    <row r="51" spans="1:14" x14ac:dyDescent="0.25">
      <c r="A51" s="36"/>
      <c r="B51" s="345" t="s">
        <v>732</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579</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ht="37.5" customHeight="1" x14ac:dyDescent="0.25">
      <c r="A56" s="29"/>
      <c r="B56" s="39" t="s">
        <v>54</v>
      </c>
      <c r="C56" s="344" t="s">
        <v>731</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732</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51"/>
      <c r="G63" s="51"/>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6" x14ac:dyDescent="0.25">
      <c r="A65" s="13"/>
      <c r="B65" s="21" t="s">
        <v>62</v>
      </c>
      <c r="C65" s="23" t="s">
        <v>580</v>
      </c>
      <c r="D65" s="19"/>
      <c r="E65" s="19"/>
      <c r="F65" s="52"/>
      <c r="G65" s="52"/>
      <c r="H65" s="19"/>
      <c r="I65" s="19"/>
      <c r="J65" s="19"/>
      <c r="K65" s="19"/>
      <c r="L65" s="19"/>
      <c r="M65" s="19"/>
      <c r="N65" s="19"/>
    </row>
    <row r="66" spans="1:16" x14ac:dyDescent="0.25">
      <c r="A66" s="13"/>
      <c r="B66" s="19"/>
      <c r="C66" s="19"/>
      <c r="D66" s="19"/>
      <c r="E66" s="19"/>
      <c r="F66" s="19"/>
      <c r="G66" s="19"/>
      <c r="H66" s="19"/>
      <c r="I66" s="19"/>
      <c r="J66" s="19"/>
      <c r="K66" s="19"/>
      <c r="L66" s="19"/>
      <c r="M66" s="19"/>
      <c r="N66" s="19"/>
    </row>
    <row r="67" spans="1:16" x14ac:dyDescent="0.25">
      <c r="A67" s="13"/>
      <c r="B67" s="333" t="s">
        <v>64</v>
      </c>
      <c r="C67" s="372" t="s">
        <v>581</v>
      </c>
      <c r="D67" s="372" t="s">
        <v>333</v>
      </c>
      <c r="E67" s="336" t="s">
        <v>294</v>
      </c>
      <c r="F67" s="327" t="s">
        <v>68</v>
      </c>
      <c r="G67" s="328"/>
      <c r="H67" s="329"/>
      <c r="I67" s="330" t="s">
        <v>69</v>
      </c>
      <c r="J67" s="330"/>
      <c r="K67" s="330"/>
      <c r="L67" s="330" t="s">
        <v>70</v>
      </c>
      <c r="M67" s="330"/>
      <c r="N67" s="330"/>
      <c r="O67" s="26"/>
    </row>
    <row r="68" spans="1:16"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c r="O68" s="26"/>
    </row>
    <row r="69" spans="1:16" x14ac:dyDescent="0.25">
      <c r="A69" s="4"/>
      <c r="B69" s="227" t="s">
        <v>165</v>
      </c>
      <c r="C69" s="53">
        <v>33.6</v>
      </c>
      <c r="D69" s="54">
        <v>54.15</v>
      </c>
      <c r="E69" s="54">
        <v>73.5</v>
      </c>
      <c r="F69" s="54">
        <v>71.349999999999994</v>
      </c>
      <c r="G69" s="54">
        <v>83.8</v>
      </c>
      <c r="H69" s="53">
        <v>32.9</v>
      </c>
      <c r="I69" s="53">
        <v>48.4</v>
      </c>
      <c r="J69" s="53">
        <v>70</v>
      </c>
      <c r="K69" s="53">
        <v>30.6</v>
      </c>
      <c r="L69" s="53">
        <v>60.6</v>
      </c>
      <c r="M69" s="53">
        <v>74.25</v>
      </c>
      <c r="N69" s="53">
        <v>37.5</v>
      </c>
      <c r="O69" s="26"/>
    </row>
    <row r="70" spans="1:16" ht="25.5" x14ac:dyDescent="0.25">
      <c r="A70" s="4"/>
      <c r="B70" s="227" t="s">
        <v>166</v>
      </c>
      <c r="C70" s="53">
        <v>10184.85</v>
      </c>
      <c r="D70" s="53">
        <v>10342.299999999999</v>
      </c>
      <c r="E70" s="53">
        <v>10966.2</v>
      </c>
      <c r="F70" s="54">
        <v>10113.700000000001</v>
      </c>
      <c r="G70" s="54">
        <v>11171.55</v>
      </c>
      <c r="H70" s="54">
        <v>9075.15</v>
      </c>
      <c r="I70" s="53">
        <v>11623.9</v>
      </c>
      <c r="J70" s="53">
        <v>11760.2</v>
      </c>
      <c r="K70" s="53">
        <v>10004.549999999999</v>
      </c>
      <c r="L70" s="53">
        <v>8597.75</v>
      </c>
      <c r="M70" s="53">
        <v>12430.5</v>
      </c>
      <c r="N70" s="53">
        <v>7511.1</v>
      </c>
      <c r="O70" s="26"/>
    </row>
    <row r="71" spans="1:16" ht="13.5" x14ac:dyDescent="0.25">
      <c r="A71" s="4"/>
      <c r="B71" s="383" t="s">
        <v>156</v>
      </c>
      <c r="C71" s="383"/>
      <c r="D71" s="383"/>
      <c r="E71" s="383"/>
      <c r="F71" s="383"/>
      <c r="G71" s="383"/>
      <c r="H71" s="383"/>
      <c r="I71" s="383"/>
      <c r="J71" s="383"/>
      <c r="K71" s="383"/>
      <c r="L71" s="383"/>
      <c r="M71" s="383"/>
      <c r="N71" s="383"/>
      <c r="O71" s="26"/>
    </row>
    <row r="72" spans="1:16" x14ac:dyDescent="0.25">
      <c r="A72" s="4"/>
      <c r="B72" s="382" t="s">
        <v>79</v>
      </c>
      <c r="C72" s="382"/>
      <c r="D72" s="382"/>
      <c r="E72" s="382"/>
      <c r="F72" s="382"/>
      <c r="G72" s="382"/>
      <c r="H72" s="382"/>
      <c r="I72" s="382"/>
      <c r="J72" s="382"/>
      <c r="K72" s="382"/>
      <c r="L72" s="382"/>
      <c r="M72" s="382"/>
      <c r="N72" s="382"/>
    </row>
    <row r="73" spans="1:16" s="57" customFormat="1" x14ac:dyDescent="0.25">
      <c r="B73" s="382" t="s">
        <v>80</v>
      </c>
      <c r="C73" s="382"/>
      <c r="D73" s="382"/>
      <c r="E73" s="382"/>
      <c r="F73" s="382"/>
      <c r="G73" s="382"/>
      <c r="H73" s="382"/>
      <c r="I73" s="382"/>
      <c r="J73" s="382"/>
      <c r="K73" s="382"/>
      <c r="L73" s="382"/>
      <c r="M73" s="382"/>
      <c r="N73" s="382"/>
      <c r="P73" s="57" t="s">
        <v>750</v>
      </c>
    </row>
    <row r="74" spans="1:16" x14ac:dyDescent="0.25">
      <c r="A74" s="4"/>
      <c r="B74" s="382" t="s">
        <v>420</v>
      </c>
      <c r="C74" s="382"/>
      <c r="D74" s="382"/>
      <c r="E74" s="382"/>
      <c r="F74" s="382"/>
      <c r="G74" s="382"/>
      <c r="H74" s="382"/>
      <c r="I74" s="382"/>
      <c r="J74" s="382"/>
      <c r="K74" s="382"/>
      <c r="L74" s="382"/>
      <c r="M74" s="382"/>
      <c r="N74" s="382"/>
    </row>
    <row r="75" spans="1:16" x14ac:dyDescent="0.25">
      <c r="A75" s="4"/>
      <c r="B75" s="382" t="s">
        <v>82</v>
      </c>
      <c r="C75" s="382"/>
      <c r="D75" s="382"/>
      <c r="E75" s="382"/>
      <c r="F75" s="382"/>
      <c r="G75" s="382"/>
      <c r="H75" s="382"/>
      <c r="I75" s="382"/>
      <c r="J75" s="382"/>
      <c r="K75" s="382"/>
      <c r="L75" s="382"/>
      <c r="M75" s="382"/>
      <c r="N75" s="382"/>
    </row>
    <row r="76" spans="1:16" x14ac:dyDescent="0.25">
      <c r="A76" s="4"/>
      <c r="B76" s="58"/>
      <c r="C76" s="58"/>
      <c r="D76" s="58"/>
      <c r="E76" s="58"/>
      <c r="F76" s="58"/>
      <c r="G76" s="17"/>
      <c r="H76" s="17"/>
      <c r="I76" s="17"/>
      <c r="J76" s="17"/>
      <c r="K76" s="17"/>
      <c r="L76" s="17"/>
      <c r="M76" s="17"/>
      <c r="N76" s="17"/>
    </row>
    <row r="77" spans="1:16" x14ac:dyDescent="0.25">
      <c r="A77" s="13">
        <v>13</v>
      </c>
      <c r="B77" s="338" t="s">
        <v>83</v>
      </c>
      <c r="C77" s="339"/>
      <c r="D77" s="339"/>
      <c r="E77" s="339"/>
      <c r="F77" s="339"/>
      <c r="G77" s="340"/>
      <c r="H77" s="15"/>
      <c r="I77" s="15"/>
      <c r="J77" s="15"/>
      <c r="K77" s="15"/>
      <c r="L77" s="15"/>
      <c r="M77" s="15"/>
      <c r="N77" s="15"/>
    </row>
    <row r="78" spans="1:16" x14ac:dyDescent="0.25">
      <c r="A78" s="13"/>
      <c r="B78" s="26"/>
      <c r="C78" s="19"/>
      <c r="D78" s="19"/>
      <c r="E78" s="19"/>
      <c r="F78" s="19"/>
      <c r="G78" s="19"/>
      <c r="H78" s="19"/>
      <c r="I78" s="19"/>
      <c r="J78" s="19"/>
      <c r="K78" s="19"/>
      <c r="L78" s="19"/>
      <c r="M78" s="19"/>
      <c r="N78" s="19"/>
    </row>
    <row r="79" spans="1:16" ht="63.75" x14ac:dyDescent="0.25">
      <c r="A79" s="4"/>
      <c r="B79" s="59" t="s">
        <v>84</v>
      </c>
      <c r="C79" s="22" t="s">
        <v>85</v>
      </c>
      <c r="D79" s="22" t="s">
        <v>86</v>
      </c>
      <c r="E79" s="22" t="s">
        <v>280</v>
      </c>
      <c r="F79" s="22" t="s">
        <v>88</v>
      </c>
      <c r="G79" s="22" t="s">
        <v>169</v>
      </c>
      <c r="H79" s="17"/>
      <c r="I79" s="17"/>
      <c r="J79" s="17"/>
      <c r="K79" s="17"/>
      <c r="L79" s="17"/>
      <c r="M79" s="17"/>
      <c r="N79" s="17"/>
    </row>
    <row r="80" spans="1:16" x14ac:dyDescent="0.2">
      <c r="A80" s="4"/>
      <c r="B80" s="316" t="s">
        <v>90</v>
      </c>
      <c r="C80" s="5" t="s">
        <v>582</v>
      </c>
      <c r="D80" s="91">
        <v>3</v>
      </c>
      <c r="E80" s="61">
        <v>4.22</v>
      </c>
      <c r="F80" s="61">
        <v>5.3</v>
      </c>
      <c r="G80" s="61"/>
      <c r="H80" s="62"/>
      <c r="I80" s="62"/>
      <c r="J80" s="62"/>
      <c r="K80" s="62"/>
      <c r="L80" s="62"/>
      <c r="M80" s="62"/>
      <c r="N80" s="62"/>
    </row>
    <row r="81" spans="1:14" x14ac:dyDescent="0.25">
      <c r="A81" s="4"/>
      <c r="B81" s="316"/>
      <c r="C81" s="5" t="s">
        <v>92</v>
      </c>
      <c r="D81" s="63"/>
      <c r="E81" s="61"/>
      <c r="F81" s="61"/>
      <c r="G81" s="61"/>
      <c r="H81" s="62"/>
      <c r="I81" s="62"/>
      <c r="J81" s="62"/>
      <c r="K81" s="62"/>
      <c r="L81" s="62"/>
      <c r="M81" s="62"/>
      <c r="N81" s="62"/>
    </row>
    <row r="82" spans="1:14" ht="25.5" x14ac:dyDescent="0.25">
      <c r="A82" s="4"/>
      <c r="B82" s="316"/>
      <c r="C82" s="25" t="s">
        <v>583</v>
      </c>
      <c r="D82" s="63" t="s">
        <v>584</v>
      </c>
      <c r="E82" s="61">
        <v>16.579999999999998</v>
      </c>
      <c r="F82" s="61">
        <v>22.05</v>
      </c>
      <c r="G82" s="61" t="s">
        <v>870</v>
      </c>
      <c r="H82" s="62"/>
      <c r="I82" s="62"/>
      <c r="J82" s="62"/>
      <c r="K82" s="62"/>
      <c r="L82" s="62"/>
      <c r="M82" s="62"/>
      <c r="N82" s="62"/>
    </row>
    <row r="83" spans="1:14" ht="15" x14ac:dyDescent="0.25">
      <c r="A83" s="4"/>
      <c r="B83" s="316"/>
      <c r="C83" s="125" t="s">
        <v>585</v>
      </c>
      <c r="D83" s="63">
        <v>3.28</v>
      </c>
      <c r="E83" s="61">
        <v>3.16</v>
      </c>
      <c r="F83" s="61">
        <v>2.29</v>
      </c>
      <c r="G83" s="61">
        <v>3.21</v>
      </c>
      <c r="H83" s="62"/>
      <c r="I83" s="62"/>
      <c r="J83" s="62"/>
      <c r="K83" s="62"/>
      <c r="L83" s="62"/>
      <c r="M83" s="62"/>
      <c r="N83" s="62"/>
    </row>
    <row r="84" spans="1:14" x14ac:dyDescent="0.25">
      <c r="A84" s="4"/>
      <c r="B84" s="316"/>
      <c r="C84" s="25" t="s">
        <v>586</v>
      </c>
      <c r="D84" s="63">
        <v>11.66</v>
      </c>
      <c r="E84" s="61">
        <v>14.94</v>
      </c>
      <c r="F84" s="61">
        <v>-7.0000000000000007E-2</v>
      </c>
      <c r="G84" s="61">
        <v>2.1</v>
      </c>
      <c r="H84" s="62"/>
      <c r="I84" s="62"/>
      <c r="J84" s="62"/>
      <c r="K84" s="62"/>
      <c r="L84" s="62"/>
      <c r="M84" s="62"/>
      <c r="N84" s="62"/>
    </row>
    <row r="85" spans="1:14" x14ac:dyDescent="0.25">
      <c r="A85" s="4"/>
      <c r="B85" s="316"/>
      <c r="C85" s="5" t="s">
        <v>93</v>
      </c>
      <c r="D85" s="169">
        <f>SUM(D82:D84)/3</f>
        <v>4.9799999999999995</v>
      </c>
      <c r="E85" s="169">
        <f>SUM(E82:E84)/3</f>
        <v>11.56</v>
      </c>
      <c r="F85" s="169">
        <f>SUM(F82:F84)/3</f>
        <v>8.09</v>
      </c>
      <c r="G85" s="61"/>
      <c r="H85" s="62"/>
      <c r="I85" s="62"/>
      <c r="J85" s="62"/>
      <c r="K85" s="62"/>
      <c r="L85" s="62"/>
      <c r="M85" s="62"/>
      <c r="N85" s="62"/>
    </row>
    <row r="86" spans="1:14" x14ac:dyDescent="0.2">
      <c r="A86" s="4"/>
      <c r="B86" s="316" t="s">
        <v>94</v>
      </c>
      <c r="C86" s="5" t="s">
        <v>582</v>
      </c>
      <c r="D86" s="93">
        <v>9.32</v>
      </c>
      <c r="E86" s="64">
        <f>F69/E80</f>
        <v>16.907582938388625</v>
      </c>
      <c r="F86" s="64">
        <f>I69/F80</f>
        <v>9.1320754716981138</v>
      </c>
      <c r="G86" s="61"/>
      <c r="H86" s="62"/>
      <c r="I86" s="62"/>
      <c r="J86" s="62"/>
      <c r="K86" s="62"/>
      <c r="L86" s="62"/>
      <c r="M86" s="62"/>
      <c r="N86" s="62"/>
    </row>
    <row r="87" spans="1:14" x14ac:dyDescent="0.25">
      <c r="A87" s="4"/>
      <c r="B87" s="316"/>
      <c r="C87" s="5" t="s">
        <v>92</v>
      </c>
      <c r="D87" s="63"/>
      <c r="E87" s="61"/>
      <c r="F87" s="61"/>
      <c r="G87" s="61"/>
      <c r="H87" s="62"/>
      <c r="I87" s="62"/>
      <c r="J87" s="62"/>
      <c r="K87" s="62"/>
      <c r="L87" s="62"/>
      <c r="M87" s="62"/>
      <c r="N87" s="62"/>
    </row>
    <row r="88" spans="1:14" x14ac:dyDescent="0.25">
      <c r="A88" s="4"/>
      <c r="B88" s="316"/>
      <c r="C88" s="25" t="s">
        <v>583</v>
      </c>
      <c r="D88" s="63">
        <v>26.15</v>
      </c>
      <c r="E88" s="64">
        <f>485.05/E82</f>
        <v>29.255126658624853</v>
      </c>
      <c r="F88" s="64">
        <f>339.9/F82</f>
        <v>15.414965986394556</v>
      </c>
      <c r="G88" s="61" t="s">
        <v>870</v>
      </c>
      <c r="H88" s="62"/>
      <c r="I88" s="62"/>
      <c r="J88" s="62"/>
      <c r="K88" s="62"/>
      <c r="L88" s="62"/>
      <c r="M88" s="62"/>
      <c r="N88" s="62"/>
    </row>
    <row r="89" spans="1:14" ht="15" x14ac:dyDescent="0.25">
      <c r="A89" s="4"/>
      <c r="B89" s="316"/>
      <c r="C89" s="125" t="s">
        <v>585</v>
      </c>
      <c r="D89" s="63">
        <v>38.39</v>
      </c>
      <c r="E89" s="64">
        <f>85.05/E83</f>
        <v>26.914556962025316</v>
      </c>
      <c r="F89" s="64">
        <f>59.1/F83</f>
        <v>25.807860262008735</v>
      </c>
      <c r="G89" s="61">
        <v>6.31</v>
      </c>
      <c r="H89" s="62"/>
      <c r="I89" s="62"/>
      <c r="J89" s="62"/>
      <c r="K89" s="62"/>
      <c r="L89" s="62"/>
      <c r="M89" s="62"/>
      <c r="N89" s="62"/>
    </row>
    <row r="90" spans="1:14" x14ac:dyDescent="0.25">
      <c r="A90" s="4"/>
      <c r="B90" s="316"/>
      <c r="C90" s="25" t="s">
        <v>586</v>
      </c>
      <c r="D90" s="63">
        <v>30.11</v>
      </c>
      <c r="E90" s="64">
        <f>319.65/E84</f>
        <v>21.395582329317268</v>
      </c>
      <c r="F90" s="64">
        <f>82.5/F84</f>
        <v>-1178.5714285714284</v>
      </c>
      <c r="G90" s="61">
        <v>5.49</v>
      </c>
      <c r="H90" s="62"/>
      <c r="I90" s="62"/>
      <c r="J90" s="62"/>
      <c r="K90" s="62"/>
      <c r="L90" s="62"/>
      <c r="M90" s="62"/>
      <c r="N90" s="62"/>
    </row>
    <row r="91" spans="1:14" x14ac:dyDescent="0.25">
      <c r="A91" s="4"/>
      <c r="B91" s="316"/>
      <c r="C91" s="5" t="s">
        <v>93</v>
      </c>
      <c r="D91" s="169">
        <f>SUM(D88:D90)/3</f>
        <v>31.549999999999997</v>
      </c>
      <c r="E91" s="169">
        <f>SUM(E88:E90)/3</f>
        <v>25.855088649989145</v>
      </c>
      <c r="F91" s="169">
        <f>SUM(F88:F90)/3</f>
        <v>-379.11620077434173</v>
      </c>
      <c r="G91" s="61"/>
      <c r="H91" s="62"/>
      <c r="I91" s="62"/>
      <c r="J91" s="62"/>
      <c r="K91" s="62"/>
      <c r="L91" s="62"/>
      <c r="M91" s="62"/>
      <c r="N91" s="62"/>
    </row>
    <row r="92" spans="1:14" x14ac:dyDescent="0.2">
      <c r="A92" s="4"/>
      <c r="B92" s="316" t="s">
        <v>95</v>
      </c>
      <c r="C92" s="5" t="s">
        <v>582</v>
      </c>
      <c r="D92" s="91">
        <v>22.86</v>
      </c>
      <c r="E92" s="198">
        <f>814.65/4107.9*100</f>
        <v>19.831300664573138</v>
      </c>
      <c r="F92" s="198">
        <f>1179.06/5286.95*100</f>
        <v>22.30132685196569</v>
      </c>
      <c r="G92" s="61"/>
      <c r="H92" s="62"/>
      <c r="I92" s="62"/>
      <c r="J92" s="62"/>
      <c r="K92" s="62"/>
      <c r="L92" s="62"/>
      <c r="M92" s="62"/>
      <c r="N92" s="62"/>
    </row>
    <row r="93" spans="1:14" x14ac:dyDescent="0.2">
      <c r="A93" s="4"/>
      <c r="B93" s="316"/>
      <c r="C93" s="5" t="s">
        <v>92</v>
      </c>
      <c r="D93" s="91"/>
      <c r="E93" s="61"/>
      <c r="F93" s="61"/>
      <c r="G93" s="61"/>
      <c r="H93" s="62"/>
      <c r="I93" s="62"/>
      <c r="J93" s="62"/>
      <c r="K93" s="62"/>
      <c r="L93" s="62"/>
      <c r="M93" s="62"/>
      <c r="N93" s="62"/>
    </row>
    <row r="94" spans="1:14" x14ac:dyDescent="0.2">
      <c r="A94" s="4"/>
      <c r="B94" s="316"/>
      <c r="C94" s="25" t="s">
        <v>583</v>
      </c>
      <c r="D94" s="91">
        <v>9.2100000000000009</v>
      </c>
      <c r="E94" s="65">
        <f>2287.26/16872.64</f>
        <v>0.13556029169116393</v>
      </c>
      <c r="F94" s="65">
        <f>3025.59/19318.7</f>
        <v>0.15661457551491559</v>
      </c>
      <c r="G94" s="61" t="s">
        <v>870</v>
      </c>
      <c r="H94" s="62"/>
      <c r="I94" s="62"/>
      <c r="J94" s="62"/>
      <c r="K94" s="62"/>
      <c r="L94" s="62"/>
      <c r="M94" s="62"/>
      <c r="N94" s="62"/>
    </row>
    <row r="95" spans="1:14" ht="15" x14ac:dyDescent="0.25">
      <c r="A95" s="4"/>
      <c r="B95" s="316"/>
      <c r="C95" s="125" t="s">
        <v>585</v>
      </c>
      <c r="D95" s="91">
        <v>3.27</v>
      </c>
      <c r="E95" s="65">
        <f>2105.48/48667.11</f>
        <v>4.3262893564051781E-2</v>
      </c>
      <c r="F95" s="65">
        <f>1556.38/49413.87</f>
        <v>3.1496824676958107E-2</v>
      </c>
      <c r="G95" s="61">
        <v>4.4400000000000004</v>
      </c>
      <c r="H95" s="62"/>
      <c r="I95" s="62"/>
      <c r="J95" s="62"/>
      <c r="K95" s="62"/>
      <c r="L95" s="62"/>
      <c r="M95" s="62"/>
      <c r="N95" s="62"/>
    </row>
    <row r="96" spans="1:14" x14ac:dyDescent="0.25">
      <c r="A96" s="4"/>
      <c r="B96" s="316"/>
      <c r="C96" s="25" t="s">
        <v>586</v>
      </c>
      <c r="D96" s="63">
        <v>12.56</v>
      </c>
      <c r="E96" s="212">
        <f>567.4/3925.8</f>
        <v>0.14453105099597532</v>
      </c>
      <c r="F96" s="212">
        <f>-2.81/3936.49</f>
        <v>-7.1383389771090494E-4</v>
      </c>
      <c r="G96" s="61">
        <v>2.12</v>
      </c>
      <c r="H96" s="62"/>
      <c r="I96" s="62"/>
      <c r="J96" s="62"/>
      <c r="K96" s="62"/>
      <c r="L96" s="62"/>
      <c r="M96" s="62"/>
      <c r="N96" s="62"/>
    </row>
    <row r="97" spans="1:14" x14ac:dyDescent="0.25">
      <c r="A97" s="4"/>
      <c r="B97" s="316"/>
      <c r="C97" s="5" t="s">
        <v>93</v>
      </c>
      <c r="D97" s="169">
        <f>SUM(D94:D96)/3</f>
        <v>8.3466666666666658</v>
      </c>
      <c r="E97" s="169">
        <f>SUM(E94:E96)/3</f>
        <v>0.10778474541706368</v>
      </c>
      <c r="F97" s="169">
        <f>SUM(F94:F96)/3</f>
        <v>6.24658554313876E-2</v>
      </c>
      <c r="G97" s="61"/>
      <c r="H97" s="62"/>
      <c r="I97" s="62"/>
      <c r="J97" s="62"/>
      <c r="K97" s="66"/>
      <c r="L97" s="62"/>
      <c r="M97" s="62"/>
      <c r="N97" s="62"/>
    </row>
    <row r="98" spans="1:14" x14ac:dyDescent="0.2">
      <c r="A98" s="4"/>
      <c r="B98" s="316" t="s">
        <v>96</v>
      </c>
      <c r="C98" s="5" t="s">
        <v>582</v>
      </c>
      <c r="D98" s="91">
        <v>13.14</v>
      </c>
      <c r="E98" s="64">
        <f>4107.9/222.54</f>
        <v>18.459153410622807</v>
      </c>
      <c r="F98" s="64">
        <f>5286.95*100000/22254900</f>
        <v>23.756341300118176</v>
      </c>
      <c r="G98" s="61"/>
      <c r="H98" s="62"/>
      <c r="I98" s="62"/>
      <c r="J98" s="62"/>
      <c r="K98" s="62"/>
      <c r="L98" s="62"/>
      <c r="M98" s="62"/>
      <c r="N98" s="62"/>
    </row>
    <row r="99" spans="1:14" x14ac:dyDescent="0.25">
      <c r="A99" s="4"/>
      <c r="B99" s="316"/>
      <c r="C99" s="5" t="s">
        <v>92</v>
      </c>
      <c r="D99" s="63"/>
      <c r="E99" s="61"/>
      <c r="F99" s="61"/>
      <c r="G99" s="61"/>
      <c r="H99" s="62"/>
      <c r="I99" s="62"/>
      <c r="J99" s="62"/>
      <c r="K99" s="62"/>
      <c r="L99" s="62"/>
      <c r="M99" s="62"/>
      <c r="N99" s="62"/>
    </row>
    <row r="100" spans="1:14" x14ac:dyDescent="0.25">
      <c r="A100" s="4"/>
      <c r="B100" s="386"/>
      <c r="C100" s="25" t="s">
        <v>583</v>
      </c>
      <c r="D100" s="63">
        <v>117.44</v>
      </c>
      <c r="E100" s="64">
        <f>16872.64/137.19</f>
        <v>122.98738975143961</v>
      </c>
      <c r="F100" s="64">
        <f>19318.7*100000/13719600</f>
        <v>140.81095658765562</v>
      </c>
      <c r="G100" s="61" t="s">
        <v>870</v>
      </c>
      <c r="H100" s="62" t="s">
        <v>750</v>
      </c>
      <c r="I100" s="62"/>
      <c r="J100" s="62"/>
      <c r="K100" s="62"/>
      <c r="L100" s="62"/>
      <c r="M100" s="62"/>
      <c r="N100" s="62"/>
    </row>
    <row r="101" spans="1:14" ht="15" x14ac:dyDescent="0.25">
      <c r="A101" s="4"/>
      <c r="B101" s="386"/>
      <c r="C101" s="125" t="s">
        <v>585</v>
      </c>
      <c r="D101" s="63">
        <v>69.95</v>
      </c>
      <c r="E101" s="64">
        <f>48667.11/667.3</f>
        <v>72.931380188820626</v>
      </c>
      <c r="F101" s="64">
        <f>49413.87*100000/66730600</f>
        <v>74.049791250191063</v>
      </c>
      <c r="G101" s="61">
        <v>72.040000000000006</v>
      </c>
      <c r="H101" s="62"/>
      <c r="I101" s="62"/>
      <c r="J101" s="62"/>
      <c r="K101" s="62"/>
      <c r="L101" s="62"/>
      <c r="M101" s="62"/>
      <c r="N101" s="62"/>
    </row>
    <row r="102" spans="1:14" x14ac:dyDescent="0.25">
      <c r="A102" s="4"/>
      <c r="B102" s="386"/>
      <c r="C102" s="25" t="s">
        <v>586</v>
      </c>
      <c r="D102" s="63">
        <v>93.92</v>
      </c>
      <c r="E102" s="64">
        <f>3925.8/39.43</f>
        <v>99.563783920872439</v>
      </c>
      <c r="F102" s="64">
        <f>3936.49*100000/3946500</f>
        <v>99.74635753199037</v>
      </c>
      <c r="G102" s="61">
        <v>100.42</v>
      </c>
      <c r="H102" s="62"/>
      <c r="I102" s="62"/>
      <c r="J102" s="62"/>
      <c r="K102" s="62"/>
      <c r="L102" s="62"/>
      <c r="M102" s="62"/>
      <c r="N102" s="62"/>
    </row>
    <row r="103" spans="1:14" x14ac:dyDescent="0.25">
      <c r="A103" s="4"/>
      <c r="B103" s="386"/>
      <c r="C103" s="5" t="s">
        <v>93</v>
      </c>
      <c r="D103" s="169">
        <f>SUM(D100:D102)/3</f>
        <v>93.77</v>
      </c>
      <c r="E103" s="169">
        <f>SUM(E100:E102)/3</f>
        <v>98.494184620377553</v>
      </c>
      <c r="F103" s="169">
        <f>SUM(F100:F102)/3</f>
        <v>104.86903512327903</v>
      </c>
      <c r="G103" s="61"/>
      <c r="H103" s="62"/>
      <c r="I103" s="62"/>
      <c r="J103" s="62"/>
      <c r="K103" s="62"/>
      <c r="L103" s="62"/>
      <c r="M103" s="62"/>
      <c r="N103" s="62"/>
    </row>
    <row r="104" spans="1:14" s="57" customFormat="1" x14ac:dyDescent="0.25">
      <c r="B104" s="387"/>
      <c r="C104" s="388"/>
      <c r="D104" s="388"/>
      <c r="E104" s="388"/>
      <c r="F104" s="388"/>
      <c r="G104" s="389"/>
    </row>
    <row r="105" spans="1:14" x14ac:dyDescent="0.25">
      <c r="A105" s="4"/>
      <c r="B105" s="376" t="s">
        <v>587</v>
      </c>
      <c r="C105" s="377"/>
      <c r="D105" s="377"/>
      <c r="E105" s="377"/>
      <c r="F105" s="377"/>
      <c r="G105" s="378"/>
      <c r="H105" s="62"/>
      <c r="I105" s="62"/>
      <c r="J105" s="62"/>
      <c r="K105" s="62"/>
      <c r="L105" s="62"/>
      <c r="M105" s="62"/>
      <c r="N105" s="62"/>
    </row>
    <row r="106" spans="1:14" x14ac:dyDescent="0.25">
      <c r="A106" s="4"/>
      <c r="B106" s="379" t="s">
        <v>128</v>
      </c>
      <c r="C106" s="380"/>
      <c r="D106" s="380"/>
      <c r="E106" s="380"/>
      <c r="F106" s="380"/>
      <c r="G106" s="381"/>
      <c r="H106" s="62"/>
      <c r="I106" s="62"/>
      <c r="J106" s="62"/>
      <c r="K106" s="62"/>
      <c r="L106" s="62"/>
      <c r="M106" s="62"/>
      <c r="N106" s="62"/>
    </row>
    <row r="107" spans="1:14" x14ac:dyDescent="0.25">
      <c r="A107" s="4"/>
      <c r="B107" s="353"/>
      <c r="C107" s="354"/>
      <c r="D107" s="354"/>
      <c r="E107" s="354"/>
      <c r="F107" s="354"/>
      <c r="G107" s="355"/>
      <c r="H107" s="62"/>
      <c r="I107" s="62"/>
      <c r="J107" s="62"/>
      <c r="K107" s="62"/>
      <c r="L107" s="62"/>
      <c r="M107" s="62"/>
      <c r="N107" s="62"/>
    </row>
    <row r="108" spans="1:14" x14ac:dyDescent="0.25">
      <c r="A108" s="26"/>
      <c r="B108" s="12"/>
      <c r="C108" s="323"/>
      <c r="D108" s="323"/>
      <c r="E108" s="323"/>
      <c r="F108" s="323"/>
      <c r="G108" s="323"/>
      <c r="H108" s="62"/>
      <c r="I108" s="62"/>
      <c r="J108" s="26"/>
      <c r="K108" s="26"/>
      <c r="L108" s="26"/>
      <c r="M108" s="26"/>
      <c r="N108" s="26"/>
    </row>
    <row r="109" spans="1:14" x14ac:dyDescent="0.25">
      <c r="A109" s="13">
        <v>14</v>
      </c>
      <c r="B109" s="70" t="s">
        <v>99</v>
      </c>
      <c r="C109" s="324" t="s">
        <v>48</v>
      </c>
      <c r="D109" s="325"/>
      <c r="E109" s="325"/>
      <c r="F109" s="325"/>
      <c r="G109" s="326"/>
      <c r="H109" s="26"/>
      <c r="I109" s="26"/>
      <c r="J109" s="26"/>
      <c r="K109" s="26"/>
      <c r="L109" s="26"/>
      <c r="M109" s="26"/>
      <c r="N109" s="26"/>
    </row>
    <row r="110" spans="1:14" x14ac:dyDescent="0.25">
      <c r="A110" s="71"/>
      <c r="B110" s="26"/>
      <c r="C110" s="84"/>
      <c r="D110" s="84"/>
      <c r="E110" s="84"/>
      <c r="F110" s="84"/>
      <c r="G110" s="84"/>
      <c r="H110" s="26"/>
      <c r="I110" s="26"/>
      <c r="J110" s="26"/>
      <c r="K110" s="26"/>
      <c r="L110" s="26"/>
      <c r="M110" s="26"/>
      <c r="N110" s="26"/>
    </row>
    <row r="111" spans="1:14" x14ac:dyDescent="0.25">
      <c r="A111" s="26"/>
      <c r="B111" s="374" t="s">
        <v>588</v>
      </c>
      <c r="C111" s="375"/>
      <c r="D111" s="375"/>
      <c r="E111" s="375"/>
      <c r="F111" s="375"/>
      <c r="G111" s="375"/>
      <c r="H111" s="375"/>
      <c r="I111" s="26"/>
      <c r="J111" s="26"/>
      <c r="K111" s="26"/>
      <c r="L111" s="26"/>
      <c r="M111" s="26"/>
      <c r="N111" s="26"/>
    </row>
    <row r="112" spans="1:14" x14ac:dyDescent="0.25">
      <c r="A112" s="26"/>
      <c r="I112" s="26"/>
      <c r="J112" s="26"/>
      <c r="K112" s="26"/>
      <c r="L112" s="26"/>
      <c r="M112" s="26"/>
      <c r="N112" s="26"/>
    </row>
    <row r="113" spans="1:14" x14ac:dyDescent="0.25">
      <c r="A113" s="26"/>
      <c r="J113" s="26"/>
      <c r="K113" s="26"/>
      <c r="L113" s="26"/>
      <c r="M113" s="26"/>
      <c r="N113"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5"/>
    <mergeCell ref="B86:B91"/>
    <mergeCell ref="B111:H111"/>
    <mergeCell ref="B104:G104"/>
    <mergeCell ref="B105:G105"/>
    <mergeCell ref="B106:G106"/>
    <mergeCell ref="B107:G107"/>
    <mergeCell ref="C108:G108"/>
    <mergeCell ref="C109:G109"/>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topLeftCell="A56" workbookViewId="0">
      <selection activeCell="B60" sqref="B60"/>
    </sheetView>
  </sheetViews>
  <sheetFormatPr defaultColWidth="8.85546875" defaultRowHeight="12.75" x14ac:dyDescent="0.25"/>
  <cols>
    <col min="1" max="1" width="8.85546875" style="73"/>
    <col min="2" max="2" width="40.85546875" style="73" customWidth="1"/>
    <col min="3" max="3" width="34.7109375" style="73" customWidth="1"/>
    <col min="4" max="4" width="26.570312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589</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590</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591</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548</v>
      </c>
      <c r="C19" s="363" t="s">
        <v>16</v>
      </c>
      <c r="D19" s="363"/>
      <c r="E19" s="363"/>
      <c r="F19" s="19"/>
      <c r="G19" s="17"/>
      <c r="I19" s="17"/>
      <c r="J19" s="17"/>
      <c r="K19" s="17"/>
      <c r="L19" s="17"/>
      <c r="M19" s="17"/>
      <c r="N19" s="17"/>
    </row>
    <row r="20" spans="1:14" x14ac:dyDescent="0.25">
      <c r="A20" s="13"/>
      <c r="B20" s="228" t="s">
        <v>18</v>
      </c>
      <c r="C20" s="363" t="s">
        <v>16</v>
      </c>
      <c r="D20" s="363"/>
      <c r="E20" s="36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429">
        <v>1.0500000000000001E-2</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325</v>
      </c>
      <c r="E28" s="226" t="s">
        <v>27</v>
      </c>
      <c r="F28" s="19"/>
      <c r="G28" s="26"/>
      <c r="H28" s="26"/>
      <c r="I28" s="26"/>
      <c r="J28" s="26"/>
      <c r="K28" s="26"/>
      <c r="L28" s="26"/>
      <c r="M28" s="26"/>
      <c r="N28" s="26"/>
    </row>
    <row r="29" spans="1:14" ht="12.75" customHeight="1" x14ac:dyDescent="0.25">
      <c r="A29" s="13"/>
      <c r="B29" s="230" t="s">
        <v>28</v>
      </c>
      <c r="C29" s="25">
        <v>5472.79</v>
      </c>
      <c r="D29" s="25">
        <v>7728.25</v>
      </c>
      <c r="E29" s="25">
        <v>10699.64</v>
      </c>
      <c r="F29" s="19"/>
      <c r="G29" s="26"/>
      <c r="H29" s="26"/>
      <c r="I29" s="26"/>
      <c r="J29" s="26"/>
      <c r="K29" s="26"/>
      <c r="L29" s="26"/>
      <c r="M29" s="26"/>
      <c r="N29" s="26"/>
    </row>
    <row r="30" spans="1:14" x14ac:dyDescent="0.25">
      <c r="A30" s="13"/>
      <c r="B30" s="230" t="s">
        <v>29</v>
      </c>
      <c r="C30" s="25">
        <v>579.14</v>
      </c>
      <c r="D30" s="25">
        <v>522.70000000000005</v>
      </c>
      <c r="E30" s="25">
        <v>-332.66</v>
      </c>
      <c r="F30" s="19"/>
      <c r="G30" s="26"/>
      <c r="H30" s="26"/>
      <c r="I30" s="26"/>
      <c r="J30" s="26"/>
      <c r="K30" s="26"/>
      <c r="L30" s="26"/>
      <c r="M30" s="26"/>
      <c r="N30" s="26"/>
    </row>
    <row r="31" spans="1:14" x14ac:dyDescent="0.25">
      <c r="A31" s="13"/>
      <c r="B31" s="230" t="s">
        <v>30</v>
      </c>
      <c r="C31" s="25">
        <v>968.72</v>
      </c>
      <c r="D31" s="25">
        <v>968.72</v>
      </c>
      <c r="E31" s="25">
        <v>968.72</v>
      </c>
      <c r="F31" s="19" t="s">
        <v>750</v>
      </c>
      <c r="G31" s="26"/>
      <c r="H31" s="26"/>
      <c r="I31" s="26"/>
      <c r="J31" s="26"/>
      <c r="K31" s="26"/>
      <c r="L31" s="26"/>
      <c r="M31" s="26"/>
      <c r="N31" s="26"/>
    </row>
    <row r="32" spans="1:14" x14ac:dyDescent="0.25">
      <c r="A32" s="13"/>
      <c r="B32" s="230" t="s">
        <v>31</v>
      </c>
      <c r="C32" s="25">
        <v>2423.67</v>
      </c>
      <c r="D32" s="25">
        <v>2887.98</v>
      </c>
      <c r="E32" s="25">
        <v>2466.17</v>
      </c>
      <c r="F32" s="19"/>
      <c r="G32" s="26"/>
      <c r="H32" s="26"/>
      <c r="I32" s="26"/>
      <c r="J32" s="26"/>
      <c r="K32" s="26"/>
      <c r="L32" s="26"/>
      <c r="M32" s="26"/>
      <c r="N32" s="26"/>
    </row>
    <row r="33" spans="1:14" x14ac:dyDescent="0.25">
      <c r="A33" s="13"/>
      <c r="B33" s="353" t="s">
        <v>356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32" t="s">
        <v>245</v>
      </c>
      <c r="D38" s="17" t="s">
        <v>750</v>
      </c>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16</v>
      </c>
      <c r="D43" s="351"/>
      <c r="E43" s="352"/>
      <c r="F43" s="17"/>
      <c r="G43" s="26"/>
      <c r="H43" s="26"/>
      <c r="I43" s="26"/>
      <c r="J43" s="26"/>
      <c r="K43" s="26"/>
      <c r="L43" s="26"/>
      <c r="M43" s="26"/>
      <c r="N43" s="26"/>
    </row>
    <row r="44" spans="1:14" x14ac:dyDescent="0.25">
      <c r="A44" s="13"/>
      <c r="B44" s="21" t="s">
        <v>36</v>
      </c>
      <c r="C44" s="350" t="s">
        <v>16</v>
      </c>
      <c r="D44" s="351"/>
      <c r="E44" s="352"/>
      <c r="F44" s="17"/>
      <c r="G44" s="26"/>
      <c r="H44" s="26"/>
      <c r="I44" s="26"/>
      <c r="J44" s="26"/>
      <c r="K44" s="26"/>
      <c r="L44" s="26"/>
      <c r="M44" s="26"/>
      <c r="N44" s="26"/>
    </row>
    <row r="45" spans="1:14" x14ac:dyDescent="0.25">
      <c r="A45" s="13"/>
      <c r="B45" s="21" t="s">
        <v>37</v>
      </c>
      <c r="C45" s="367" t="s">
        <v>16</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114.75" x14ac:dyDescent="0.25">
      <c r="A50" s="34"/>
      <c r="B50" s="94" t="s">
        <v>369</v>
      </c>
      <c r="C50" s="94" t="s">
        <v>592</v>
      </c>
      <c r="D50" s="94" t="s">
        <v>727</v>
      </c>
      <c r="E50" s="94" t="s">
        <v>125</v>
      </c>
      <c r="F50" s="26"/>
      <c r="G50" s="26"/>
      <c r="H50" s="26"/>
      <c r="I50" s="26"/>
      <c r="J50" s="26"/>
      <c r="K50" s="26"/>
      <c r="L50" s="26"/>
      <c r="M50" s="26"/>
    </row>
    <row r="51" spans="1:14" x14ac:dyDescent="0.25">
      <c r="A51" s="36"/>
      <c r="B51" s="345" t="s">
        <v>729</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593</v>
      </c>
      <c r="D54" s="395"/>
      <c r="E54" s="396"/>
      <c r="F54" s="26"/>
      <c r="G54" s="26"/>
      <c r="H54" s="26"/>
      <c r="I54" s="26"/>
      <c r="J54" s="26"/>
      <c r="K54" s="2"/>
      <c r="L54" s="26"/>
      <c r="M54" s="26"/>
    </row>
    <row r="55" spans="1:14" ht="43.5" customHeight="1" x14ac:dyDescent="0.25">
      <c r="A55" s="34"/>
      <c r="B55" s="358"/>
      <c r="C55" s="397"/>
      <c r="D55" s="398"/>
      <c r="E55" s="399"/>
      <c r="F55" s="26"/>
      <c r="G55" s="26"/>
      <c r="H55" s="26"/>
      <c r="I55" s="26"/>
      <c r="J55" s="26"/>
      <c r="K55" s="2"/>
      <c r="L55" s="26"/>
      <c r="M55" s="26"/>
    </row>
    <row r="56" spans="1:14" ht="57" customHeight="1" x14ac:dyDescent="0.25">
      <c r="A56" s="29"/>
      <c r="B56" s="39" t="s">
        <v>54</v>
      </c>
      <c r="C56" s="344" t="s">
        <v>728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729</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6" x14ac:dyDescent="0.25">
      <c r="A65" s="13"/>
      <c r="B65" s="21" t="s">
        <v>62</v>
      </c>
      <c r="C65" s="23" t="s">
        <v>594</v>
      </c>
      <c r="D65" s="19"/>
      <c r="E65" s="19"/>
      <c r="F65" s="52"/>
      <c r="G65" s="52"/>
      <c r="H65" s="19"/>
      <c r="I65" s="19"/>
      <c r="J65" s="19"/>
      <c r="K65" s="19"/>
      <c r="L65" s="19"/>
      <c r="M65" s="19"/>
      <c r="N65" s="19"/>
    </row>
    <row r="66" spans="1:16" x14ac:dyDescent="0.25">
      <c r="A66" s="13"/>
      <c r="B66" s="19"/>
      <c r="C66" s="19"/>
      <c r="D66" s="19"/>
      <c r="E66" s="19"/>
      <c r="F66" s="19"/>
      <c r="G66" s="19"/>
      <c r="H66" s="19"/>
      <c r="I66" s="19"/>
      <c r="J66" s="19"/>
      <c r="K66" s="19"/>
      <c r="L66" s="19"/>
      <c r="M66" s="19"/>
      <c r="N66" s="19"/>
    </row>
    <row r="67" spans="1:16" x14ac:dyDescent="0.25">
      <c r="A67" s="13"/>
      <c r="B67" s="333" t="s">
        <v>64</v>
      </c>
      <c r="C67" s="372" t="s">
        <v>595</v>
      </c>
      <c r="D67" s="372" t="s">
        <v>333</v>
      </c>
      <c r="E67" s="336" t="s">
        <v>294</v>
      </c>
      <c r="F67" s="327" t="s">
        <v>68</v>
      </c>
      <c r="G67" s="328"/>
      <c r="H67" s="329"/>
      <c r="I67" s="330" t="s">
        <v>69</v>
      </c>
      <c r="J67" s="330"/>
      <c r="K67" s="330"/>
      <c r="L67" s="330" t="s">
        <v>70</v>
      </c>
      <c r="M67" s="330"/>
      <c r="N67" s="330"/>
    </row>
    <row r="68" spans="1:16"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6" x14ac:dyDescent="0.25">
      <c r="A69" s="4"/>
      <c r="B69" s="227" t="s">
        <v>165</v>
      </c>
      <c r="C69" s="53">
        <v>120</v>
      </c>
      <c r="D69" s="54">
        <v>166.3</v>
      </c>
      <c r="E69" s="54">
        <v>121</v>
      </c>
      <c r="F69" s="54">
        <v>101</v>
      </c>
      <c r="G69" s="54">
        <v>187</v>
      </c>
      <c r="H69" s="53">
        <v>99.9</v>
      </c>
      <c r="I69" s="53">
        <v>66</v>
      </c>
      <c r="J69" s="53">
        <v>134.94999999999999</v>
      </c>
      <c r="K69" s="53">
        <v>60.05</v>
      </c>
      <c r="L69" s="53">
        <v>17.55</v>
      </c>
      <c r="M69" s="53">
        <v>73.900000000000006</v>
      </c>
      <c r="N69" s="53">
        <v>17</v>
      </c>
    </row>
    <row r="70" spans="1:16" ht="25.5" x14ac:dyDescent="0.25">
      <c r="A70" s="4"/>
      <c r="B70" s="227" t="s">
        <v>166</v>
      </c>
      <c r="C70" s="53">
        <v>10298.75</v>
      </c>
      <c r="D70" s="53">
        <v>10298.75</v>
      </c>
      <c r="E70" s="53">
        <v>10378.4</v>
      </c>
      <c r="F70" s="54">
        <v>10113.700000000001</v>
      </c>
      <c r="G70" s="54">
        <v>11171.55</v>
      </c>
      <c r="H70" s="54">
        <v>9075.15</v>
      </c>
      <c r="I70" s="53">
        <v>11623.9</v>
      </c>
      <c r="J70" s="53">
        <v>11760.2</v>
      </c>
      <c r="K70" s="53">
        <v>10004.549999999999</v>
      </c>
      <c r="L70" s="53">
        <v>8597.75</v>
      </c>
      <c r="M70" s="53">
        <v>12430.5</v>
      </c>
      <c r="N70" s="53">
        <v>7511.1</v>
      </c>
    </row>
    <row r="71" spans="1:16" ht="13.5" x14ac:dyDescent="0.25">
      <c r="A71" s="4"/>
      <c r="B71" s="383" t="s">
        <v>156</v>
      </c>
      <c r="C71" s="383"/>
      <c r="D71" s="383"/>
      <c r="E71" s="383"/>
      <c r="F71" s="383"/>
      <c r="G71" s="383"/>
      <c r="H71" s="383"/>
      <c r="I71" s="383"/>
      <c r="J71" s="383"/>
      <c r="K71" s="383"/>
      <c r="L71" s="383"/>
      <c r="M71" s="383"/>
      <c r="N71" s="383"/>
    </row>
    <row r="72" spans="1:16" x14ac:dyDescent="0.25">
      <c r="A72" s="4"/>
      <c r="B72" s="382" t="s">
        <v>79</v>
      </c>
      <c r="C72" s="382"/>
      <c r="D72" s="382"/>
      <c r="E72" s="382"/>
      <c r="F72" s="382"/>
      <c r="G72" s="382"/>
      <c r="H72" s="382"/>
      <c r="I72" s="382"/>
      <c r="J72" s="382"/>
      <c r="K72" s="382"/>
      <c r="L72" s="382"/>
      <c r="M72" s="382"/>
      <c r="N72" s="382"/>
    </row>
    <row r="73" spans="1:16" s="57" customFormat="1" x14ac:dyDescent="0.25">
      <c r="B73" s="382" t="s">
        <v>80</v>
      </c>
      <c r="C73" s="382"/>
      <c r="D73" s="382"/>
      <c r="E73" s="382"/>
      <c r="F73" s="382"/>
      <c r="G73" s="382"/>
      <c r="H73" s="382"/>
      <c r="I73" s="382"/>
      <c r="J73" s="382"/>
      <c r="K73" s="382"/>
      <c r="L73" s="382"/>
      <c r="M73" s="382"/>
      <c r="N73" s="382"/>
    </row>
    <row r="74" spans="1:16" x14ac:dyDescent="0.25">
      <c r="A74" s="4"/>
      <c r="B74" s="382" t="s">
        <v>420</v>
      </c>
      <c r="C74" s="382"/>
      <c r="D74" s="382"/>
      <c r="E74" s="382"/>
      <c r="F74" s="382"/>
      <c r="G74" s="382"/>
      <c r="H74" s="382"/>
      <c r="I74" s="382"/>
      <c r="J74" s="382"/>
      <c r="K74" s="382"/>
      <c r="L74" s="382"/>
      <c r="M74" s="382"/>
      <c r="N74" s="382"/>
    </row>
    <row r="75" spans="1:16" x14ac:dyDescent="0.25">
      <c r="A75" s="4"/>
      <c r="B75" s="382" t="s">
        <v>82</v>
      </c>
      <c r="C75" s="382"/>
      <c r="D75" s="382"/>
      <c r="E75" s="382"/>
      <c r="F75" s="382"/>
      <c r="G75" s="382"/>
      <c r="H75" s="382"/>
      <c r="I75" s="382"/>
      <c r="J75" s="382"/>
      <c r="K75" s="382"/>
      <c r="L75" s="382"/>
      <c r="M75" s="382"/>
      <c r="N75" s="382"/>
    </row>
    <row r="76" spans="1:16" x14ac:dyDescent="0.25">
      <c r="A76" s="4"/>
      <c r="B76" s="58"/>
      <c r="C76" s="58"/>
      <c r="D76" s="58"/>
      <c r="E76" s="58"/>
      <c r="F76" s="58"/>
      <c r="G76" s="17"/>
      <c r="H76" s="17"/>
      <c r="I76" s="17"/>
      <c r="J76" s="17"/>
      <c r="K76" s="17"/>
      <c r="L76" s="17"/>
      <c r="M76" s="17"/>
      <c r="N76" s="17"/>
    </row>
    <row r="77" spans="1:16" x14ac:dyDescent="0.25">
      <c r="A77" s="13">
        <v>13</v>
      </c>
      <c r="B77" s="338" t="s">
        <v>83</v>
      </c>
      <c r="C77" s="339"/>
      <c r="D77" s="339"/>
      <c r="E77" s="339"/>
      <c r="F77" s="339"/>
      <c r="G77" s="340"/>
      <c r="H77" s="15"/>
      <c r="I77" s="15"/>
      <c r="J77" s="15"/>
      <c r="K77" s="15"/>
      <c r="L77" s="15"/>
      <c r="M77" s="15"/>
      <c r="N77" s="15"/>
    </row>
    <row r="78" spans="1:16" x14ac:dyDescent="0.25">
      <c r="A78" s="13"/>
      <c r="B78" s="26"/>
      <c r="C78" s="19"/>
      <c r="D78" s="19"/>
      <c r="E78" s="19"/>
      <c r="F78" s="19"/>
      <c r="G78" s="19"/>
      <c r="H78" s="19"/>
      <c r="I78" s="19"/>
      <c r="J78" s="19"/>
      <c r="K78" s="19"/>
      <c r="L78" s="19"/>
      <c r="M78" s="19"/>
      <c r="N78" s="19"/>
    </row>
    <row r="79" spans="1:16" ht="51" x14ac:dyDescent="0.25">
      <c r="A79" s="4"/>
      <c r="B79" s="59" t="s">
        <v>84</v>
      </c>
      <c r="C79" s="22" t="s">
        <v>85</v>
      </c>
      <c r="D79" s="22" t="s">
        <v>86</v>
      </c>
      <c r="E79" s="22" t="s">
        <v>280</v>
      </c>
      <c r="F79" s="22" t="s">
        <v>88</v>
      </c>
      <c r="G79" s="22" t="s">
        <v>169</v>
      </c>
      <c r="H79" s="17"/>
      <c r="I79" s="17"/>
      <c r="J79" s="17"/>
      <c r="K79" s="17"/>
      <c r="L79" s="17"/>
      <c r="M79" s="17"/>
      <c r="N79" s="17"/>
      <c r="P79" s="73" t="s">
        <v>750</v>
      </c>
    </row>
    <row r="80" spans="1:16" x14ac:dyDescent="0.2">
      <c r="A80" s="4"/>
      <c r="B80" s="316" t="s">
        <v>90</v>
      </c>
      <c r="C80" s="5" t="s">
        <v>596</v>
      </c>
      <c r="D80" s="91">
        <v>5.54</v>
      </c>
      <c r="E80" s="61">
        <v>6.72</v>
      </c>
      <c r="F80" s="217">
        <v>5.4</v>
      </c>
      <c r="G80" s="61"/>
      <c r="H80" s="62"/>
      <c r="I80" s="62"/>
      <c r="J80" s="62"/>
      <c r="K80" s="62"/>
      <c r="L80" s="62"/>
      <c r="M80" s="62"/>
      <c r="N80" s="62"/>
    </row>
    <row r="81" spans="1:14" x14ac:dyDescent="0.25">
      <c r="A81" s="4"/>
      <c r="B81" s="316"/>
      <c r="C81" s="5" t="s">
        <v>92</v>
      </c>
      <c r="D81" s="216"/>
      <c r="E81" s="61"/>
      <c r="F81" s="217"/>
      <c r="G81" s="61"/>
      <c r="H81" s="62"/>
      <c r="I81" s="62"/>
      <c r="J81" s="62"/>
      <c r="K81" s="62"/>
      <c r="L81" s="62"/>
      <c r="M81" s="62"/>
      <c r="N81" s="62"/>
    </row>
    <row r="82" spans="1:14" ht="25.5" x14ac:dyDescent="0.25">
      <c r="A82" s="4"/>
      <c r="B82" s="316"/>
      <c r="C82" s="25" t="s">
        <v>597</v>
      </c>
      <c r="D82" s="216" t="s">
        <v>598</v>
      </c>
      <c r="E82" s="61">
        <v>18.38</v>
      </c>
      <c r="F82" s="217">
        <v>15.86</v>
      </c>
      <c r="G82" s="61">
        <v>-30.28</v>
      </c>
      <c r="H82" s="62"/>
      <c r="I82" s="62"/>
      <c r="J82" s="62"/>
      <c r="K82" s="62"/>
      <c r="L82" s="62"/>
      <c r="M82" s="62"/>
      <c r="N82" s="62"/>
    </row>
    <row r="83" spans="1:14" x14ac:dyDescent="0.25">
      <c r="A83" s="4"/>
      <c r="B83" s="316"/>
      <c r="C83" s="25" t="s">
        <v>599</v>
      </c>
      <c r="D83" s="216">
        <v>7.34</v>
      </c>
      <c r="E83" s="61">
        <v>42.44</v>
      </c>
      <c r="F83" s="217">
        <v>57.34</v>
      </c>
      <c r="G83" s="61">
        <v>20.46</v>
      </c>
      <c r="H83" s="62"/>
      <c r="I83" s="62"/>
      <c r="J83" s="62"/>
      <c r="K83" s="62"/>
      <c r="L83" s="62"/>
      <c r="M83" s="62"/>
      <c r="N83" s="62"/>
    </row>
    <row r="84" spans="1:14" x14ac:dyDescent="0.25">
      <c r="A84" s="4"/>
      <c r="B84" s="316"/>
      <c r="C84" s="5" t="s">
        <v>93</v>
      </c>
      <c r="D84" s="92"/>
      <c r="E84" s="61"/>
      <c r="F84" s="217"/>
      <c r="G84" s="61"/>
      <c r="H84" s="62"/>
      <c r="I84" s="62"/>
      <c r="J84" s="62"/>
      <c r="K84" s="62"/>
      <c r="L84" s="62"/>
      <c r="M84" s="62"/>
      <c r="N84" s="62"/>
    </row>
    <row r="85" spans="1:14" x14ac:dyDescent="0.2">
      <c r="A85" s="4"/>
      <c r="B85" s="316" t="s">
        <v>94</v>
      </c>
      <c r="C85" s="5" t="s">
        <v>596</v>
      </c>
      <c r="D85" s="93">
        <v>12.69</v>
      </c>
      <c r="E85" s="64">
        <f>F69/E80</f>
        <v>15.029761904761905</v>
      </c>
      <c r="F85" s="218">
        <f>I69/F80</f>
        <v>12.222222222222221</v>
      </c>
      <c r="G85" s="61"/>
      <c r="H85" s="62"/>
      <c r="I85" s="62"/>
      <c r="J85" s="62"/>
      <c r="K85" s="62"/>
      <c r="L85" s="62"/>
      <c r="M85" s="62"/>
      <c r="N85" s="62"/>
    </row>
    <row r="86" spans="1:14" x14ac:dyDescent="0.25">
      <c r="A86" s="4"/>
      <c r="B86" s="316"/>
      <c r="C86" s="5" t="s">
        <v>92</v>
      </c>
      <c r="D86" s="216"/>
      <c r="E86" s="61"/>
      <c r="F86" s="217"/>
      <c r="G86" s="61"/>
      <c r="H86" s="62"/>
      <c r="I86" s="62"/>
      <c r="J86" s="62"/>
      <c r="K86" s="62"/>
      <c r="L86" s="62"/>
      <c r="M86" s="62"/>
      <c r="N86" s="62"/>
    </row>
    <row r="87" spans="1:14" x14ac:dyDescent="0.25">
      <c r="A87" s="4"/>
      <c r="B87" s="316"/>
      <c r="C87" s="25" t="s">
        <v>597</v>
      </c>
      <c r="D87" s="216">
        <v>50.15</v>
      </c>
      <c r="E87" s="64">
        <f>1028.75/E82</f>
        <v>55.971164309031558</v>
      </c>
      <c r="F87" s="218">
        <f>748.45/F82</f>
        <v>47.191046658259779</v>
      </c>
      <c r="G87" s="61">
        <v>0</v>
      </c>
      <c r="H87" s="62"/>
      <c r="I87" s="62"/>
      <c r="J87" s="62"/>
      <c r="K87" s="62"/>
      <c r="L87" s="62"/>
      <c r="M87" s="62"/>
      <c r="N87" s="62"/>
    </row>
    <row r="88" spans="1:14" x14ac:dyDescent="0.25">
      <c r="A88" s="4"/>
      <c r="B88" s="316"/>
      <c r="C88" s="25" t="s">
        <v>599</v>
      </c>
      <c r="D88" s="216">
        <v>112.21</v>
      </c>
      <c r="E88" s="64">
        <f>2217.15/E83</f>
        <v>52.241988689915182</v>
      </c>
      <c r="F88" s="218">
        <f>3002.05/F83</f>
        <v>52.355249389605859</v>
      </c>
      <c r="G88" s="61">
        <v>74.62</v>
      </c>
      <c r="H88" s="62"/>
      <c r="I88" s="62"/>
      <c r="J88" s="62"/>
      <c r="K88" s="62"/>
      <c r="L88" s="62"/>
      <c r="M88" s="62"/>
      <c r="N88" s="62"/>
    </row>
    <row r="89" spans="1:14" x14ac:dyDescent="0.25">
      <c r="A89" s="4"/>
      <c r="B89" s="316"/>
      <c r="C89" s="5" t="s">
        <v>93</v>
      </c>
      <c r="D89" s="92"/>
      <c r="E89" s="61"/>
      <c r="F89" s="217"/>
      <c r="G89" s="61"/>
      <c r="H89" s="62"/>
      <c r="I89" s="62"/>
      <c r="J89" s="62"/>
      <c r="K89" s="62"/>
      <c r="L89" s="62"/>
      <c r="M89" s="62"/>
      <c r="N89" s="62"/>
    </row>
    <row r="90" spans="1:14" x14ac:dyDescent="0.2">
      <c r="A90" s="4"/>
      <c r="B90" s="316" t="s">
        <v>95</v>
      </c>
      <c r="C90" s="5" t="s">
        <v>596</v>
      </c>
      <c r="D90" s="91">
        <v>12.74</v>
      </c>
      <c r="E90" s="198">
        <f>579.14/3392.39*100</f>
        <v>17.071739982726044</v>
      </c>
      <c r="F90" s="218">
        <f>522.7/3856.7*100</f>
        <v>13.553037570980372</v>
      </c>
      <c r="G90" s="61"/>
      <c r="H90" s="62"/>
      <c r="I90" s="62"/>
      <c r="J90" s="62"/>
      <c r="K90" s="62"/>
      <c r="L90" s="62"/>
      <c r="M90" s="62"/>
      <c r="N90" s="62"/>
    </row>
    <row r="91" spans="1:14" x14ac:dyDescent="0.25">
      <c r="A91" s="4"/>
      <c r="B91" s="316"/>
      <c r="C91" s="5" t="s">
        <v>92</v>
      </c>
      <c r="D91" s="216"/>
      <c r="E91" s="61"/>
      <c r="F91" s="217"/>
      <c r="G91" s="61"/>
      <c r="H91" s="62"/>
      <c r="I91" s="62"/>
      <c r="J91" s="62"/>
      <c r="K91" s="62"/>
      <c r="L91" s="62"/>
      <c r="M91" s="62"/>
      <c r="N91" s="62"/>
    </row>
    <row r="92" spans="1:14" x14ac:dyDescent="0.25">
      <c r="A92" s="4"/>
      <c r="B92" s="316"/>
      <c r="C92" s="25" t="s">
        <v>597</v>
      </c>
      <c r="D92" s="216">
        <v>19.149999999999999</v>
      </c>
      <c r="E92" s="198">
        <f>25926.39/236147.4*100</f>
        <v>10.978901313332265</v>
      </c>
      <c r="F92" s="218">
        <f>23127.99/259496.52*100</f>
        <v>8.9126397533192367</v>
      </c>
      <c r="G92" s="61">
        <v>-16.8</v>
      </c>
      <c r="H92" s="62"/>
      <c r="I92" s="62"/>
      <c r="J92" s="62"/>
      <c r="K92" s="62"/>
      <c r="L92" s="62"/>
      <c r="M92" s="62"/>
      <c r="N92" s="62"/>
    </row>
    <row r="93" spans="1:14" x14ac:dyDescent="0.25">
      <c r="A93" s="4"/>
      <c r="B93" s="316"/>
      <c r="C93" s="25" t="s">
        <v>599</v>
      </c>
      <c r="D93" s="216">
        <v>19.11</v>
      </c>
      <c r="E93" s="198">
        <f>7255.7/43266.11*100</f>
        <v>16.769938411380174</v>
      </c>
      <c r="F93" s="218">
        <f>9802.99/53911.58*100</f>
        <v>18.183458915505721</v>
      </c>
      <c r="G93" s="61">
        <v>6.75</v>
      </c>
      <c r="H93" s="62"/>
      <c r="I93" s="62"/>
      <c r="J93" s="62"/>
      <c r="K93" s="62"/>
      <c r="L93" s="62"/>
      <c r="M93" s="62"/>
      <c r="N93" s="62"/>
    </row>
    <row r="94" spans="1:14" x14ac:dyDescent="0.25">
      <c r="A94" s="4"/>
      <c r="B94" s="316"/>
      <c r="C94" s="5" t="s">
        <v>93</v>
      </c>
      <c r="D94" s="92"/>
      <c r="E94" s="61"/>
      <c r="F94" s="217"/>
      <c r="G94" s="61"/>
      <c r="H94" s="62"/>
      <c r="I94" s="62"/>
      <c r="J94" s="62"/>
      <c r="K94" s="66"/>
      <c r="L94" s="62"/>
      <c r="M94" s="62"/>
      <c r="N94" s="62"/>
    </row>
    <row r="95" spans="1:14" x14ac:dyDescent="0.2">
      <c r="A95" s="4"/>
      <c r="B95" s="316" t="s">
        <v>96</v>
      </c>
      <c r="C95" s="5" t="s">
        <v>596</v>
      </c>
      <c r="D95" s="91">
        <v>142</v>
      </c>
      <c r="E95" s="64">
        <f>3392.39/96.87</f>
        <v>35.020026840094971</v>
      </c>
      <c r="F95" s="218">
        <f>3856.7*100000/9687200</f>
        <v>39.812329672144685</v>
      </c>
      <c r="G95" s="61"/>
      <c r="H95" s="62"/>
      <c r="I95" s="62"/>
      <c r="J95" s="62"/>
      <c r="K95" s="62"/>
      <c r="L95" s="62"/>
      <c r="M95" s="62"/>
      <c r="N95" s="62"/>
    </row>
    <row r="96" spans="1:14" x14ac:dyDescent="0.25">
      <c r="A96" s="4"/>
      <c r="B96" s="316"/>
      <c r="C96" s="5" t="s">
        <v>92</v>
      </c>
      <c r="D96" s="216"/>
      <c r="E96" s="61"/>
      <c r="F96" s="217"/>
      <c r="G96" s="61"/>
      <c r="H96" s="62"/>
      <c r="I96" s="62"/>
      <c r="J96" s="62"/>
      <c r="K96" s="62"/>
      <c r="L96" s="62"/>
      <c r="M96" s="62"/>
      <c r="N96" s="62"/>
    </row>
    <row r="97" spans="1:14" x14ac:dyDescent="0.25">
      <c r="A97" s="4"/>
      <c r="B97" s="386"/>
      <c r="C97" s="25" t="s">
        <v>597</v>
      </c>
      <c r="D97" s="216">
        <v>216.41</v>
      </c>
      <c r="E97" s="64">
        <f>236147.4/1454.84</f>
        <v>162.31846801022795</v>
      </c>
      <c r="F97" s="218">
        <f>259496.52*100000/146084800</f>
        <v>177.63416864725147</v>
      </c>
      <c r="G97" s="61">
        <v>153.37</v>
      </c>
      <c r="H97" s="62"/>
      <c r="I97" s="62"/>
      <c r="J97" s="62"/>
      <c r="K97" s="62"/>
      <c r="L97" s="62"/>
      <c r="M97" s="62"/>
      <c r="N97" s="62"/>
    </row>
    <row r="98" spans="1:14" x14ac:dyDescent="0.25">
      <c r="A98" s="4"/>
      <c r="B98" s="386"/>
      <c r="C98" s="25" t="s">
        <v>599</v>
      </c>
      <c r="D98" s="216">
        <v>62.43</v>
      </c>
      <c r="E98" s="64">
        <f>43266.11/170.96</f>
        <v>253.07738652316331</v>
      </c>
      <c r="F98" s="218">
        <f>53911.58*100000/17096800</f>
        <v>315.33140704693278</v>
      </c>
      <c r="G98" s="61">
        <v>329.91</v>
      </c>
      <c r="H98" s="62"/>
      <c r="I98" s="62"/>
      <c r="J98" s="62"/>
      <c r="K98" s="62"/>
      <c r="L98" s="62"/>
      <c r="M98" s="62"/>
      <c r="N98" s="62"/>
    </row>
    <row r="99" spans="1:14" x14ac:dyDescent="0.25">
      <c r="A99" s="4"/>
      <c r="B99" s="386"/>
      <c r="C99" s="5" t="s">
        <v>93</v>
      </c>
      <c r="D99" s="92"/>
      <c r="E99" s="61"/>
      <c r="F99" s="217"/>
      <c r="G99" s="61"/>
      <c r="H99" s="62"/>
      <c r="I99" s="62"/>
      <c r="J99" s="62"/>
      <c r="K99" s="62"/>
      <c r="L99" s="62"/>
      <c r="M99" s="62"/>
      <c r="N99" s="62"/>
    </row>
    <row r="100" spans="1:14" s="57" customFormat="1" x14ac:dyDescent="0.25">
      <c r="B100" s="387"/>
      <c r="C100" s="388"/>
      <c r="D100" s="388"/>
      <c r="E100" s="388"/>
      <c r="F100" s="388"/>
      <c r="G100" s="389"/>
    </row>
    <row r="101" spans="1:14" x14ac:dyDescent="0.25">
      <c r="A101" s="4"/>
      <c r="B101" s="376" t="s">
        <v>600</v>
      </c>
      <c r="C101" s="377"/>
      <c r="D101" s="377"/>
      <c r="E101" s="377"/>
      <c r="F101" s="377"/>
      <c r="G101" s="378"/>
      <c r="H101" s="62"/>
      <c r="I101" s="62"/>
      <c r="J101" s="62"/>
      <c r="K101" s="62"/>
      <c r="L101" s="62"/>
      <c r="M101" s="62"/>
      <c r="N101" s="62"/>
    </row>
    <row r="102" spans="1:14" x14ac:dyDescent="0.25">
      <c r="A102" s="4"/>
      <c r="B102" s="379" t="s">
        <v>128</v>
      </c>
      <c r="C102" s="380"/>
      <c r="D102" s="380"/>
      <c r="E102" s="380"/>
      <c r="F102" s="380"/>
      <c r="G102" s="381"/>
      <c r="H102" s="62"/>
      <c r="I102" s="62"/>
      <c r="J102" s="62"/>
      <c r="K102" s="62"/>
      <c r="L102" s="62"/>
      <c r="M102" s="62"/>
      <c r="N102" s="62"/>
    </row>
    <row r="103" spans="1:14" x14ac:dyDescent="0.25">
      <c r="A103" s="4"/>
      <c r="B103" s="353"/>
      <c r="C103" s="354"/>
      <c r="D103" s="354"/>
      <c r="E103" s="354"/>
      <c r="F103" s="354"/>
      <c r="G103" s="355"/>
      <c r="H103" s="62"/>
      <c r="I103" s="62"/>
      <c r="J103" s="62"/>
      <c r="K103" s="62"/>
      <c r="L103" s="62"/>
      <c r="M103" s="62"/>
      <c r="N103" s="62"/>
    </row>
    <row r="104" spans="1:14" x14ac:dyDescent="0.25">
      <c r="A104" s="26"/>
      <c r="B104" s="12"/>
      <c r="C104" s="323"/>
      <c r="D104" s="323"/>
      <c r="E104" s="323"/>
      <c r="F104" s="323"/>
      <c r="G104" s="323"/>
      <c r="H104" s="62"/>
      <c r="I104" s="62"/>
      <c r="J104" s="26"/>
      <c r="K104" s="26"/>
      <c r="L104" s="26"/>
      <c r="M104" s="26"/>
      <c r="N104" s="26"/>
    </row>
    <row r="105" spans="1:14" x14ac:dyDescent="0.25">
      <c r="A105" s="13">
        <v>14</v>
      </c>
      <c r="B105" s="70" t="s">
        <v>99</v>
      </c>
      <c r="C105" s="324" t="s">
        <v>48</v>
      </c>
      <c r="D105" s="325"/>
      <c r="E105" s="325"/>
      <c r="F105" s="325"/>
      <c r="G105" s="326"/>
      <c r="H105" s="26"/>
      <c r="I105" s="26"/>
      <c r="J105" s="26"/>
      <c r="K105" s="26"/>
      <c r="L105" s="26"/>
      <c r="M105" s="26"/>
      <c r="N105" s="26"/>
    </row>
    <row r="106" spans="1:14" x14ac:dyDescent="0.25">
      <c r="A106" s="71"/>
      <c r="B106" s="26"/>
      <c r="C106" s="84"/>
      <c r="D106" s="84"/>
      <c r="E106" s="84"/>
      <c r="F106" s="84"/>
      <c r="G106" s="84"/>
      <c r="H106" s="26"/>
      <c r="I106" s="26"/>
      <c r="J106" s="26"/>
      <c r="K106" s="26"/>
      <c r="L106" s="26"/>
      <c r="M106" s="26"/>
      <c r="N106" s="26"/>
    </row>
    <row r="107" spans="1:14" x14ac:dyDescent="0.25">
      <c r="A107" s="26"/>
      <c r="B107" s="374" t="s">
        <v>601</v>
      </c>
      <c r="C107" s="375"/>
      <c r="D107" s="375"/>
      <c r="E107" s="375"/>
      <c r="F107" s="375"/>
      <c r="G107" s="375"/>
      <c r="H107" s="375"/>
      <c r="I107" s="26"/>
      <c r="J107" s="26"/>
      <c r="K107" s="26"/>
      <c r="L107" s="26"/>
      <c r="M107" s="26"/>
      <c r="N107" s="26"/>
    </row>
    <row r="108" spans="1:14" x14ac:dyDescent="0.25">
      <c r="A108" s="26"/>
      <c r="I108" s="26"/>
      <c r="J108" s="26"/>
      <c r="K108" s="26"/>
      <c r="L108" s="26"/>
      <c r="M108" s="26"/>
      <c r="N108" s="26"/>
    </row>
    <row r="109" spans="1:14" x14ac:dyDescent="0.25">
      <c r="A109" s="26"/>
      <c r="J109" s="26"/>
      <c r="K109" s="26"/>
      <c r="L109" s="26"/>
      <c r="M109" s="26"/>
      <c r="N109"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4"/>
    <mergeCell ref="B85:B89"/>
    <mergeCell ref="B107:H107"/>
    <mergeCell ref="B100:G100"/>
    <mergeCell ref="B101:G101"/>
    <mergeCell ref="B102:G102"/>
    <mergeCell ref="B103:G103"/>
    <mergeCell ref="C104:G104"/>
    <mergeCell ref="C105:G10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topLeftCell="B50" workbookViewId="0">
      <selection activeCell="B51" sqref="B51:E51"/>
    </sheetView>
  </sheetViews>
  <sheetFormatPr defaultColWidth="8.85546875" defaultRowHeight="12.75" x14ac:dyDescent="0.25"/>
  <cols>
    <col min="1" max="1" width="8.85546875" style="73"/>
    <col min="2"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602</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603</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604</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605</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548</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429">
        <v>2.9999999999999997E-4</v>
      </c>
      <c r="D22" s="426"/>
      <c r="E22" s="426"/>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26</v>
      </c>
      <c r="E28" s="226" t="s">
        <v>355</v>
      </c>
      <c r="F28" s="19"/>
      <c r="G28" s="26"/>
      <c r="H28" s="26"/>
      <c r="I28" s="26"/>
      <c r="J28" s="26"/>
      <c r="K28" s="26"/>
      <c r="L28" s="26"/>
      <c r="M28" s="26"/>
      <c r="N28" s="26"/>
    </row>
    <row r="29" spans="1:14" x14ac:dyDescent="0.25">
      <c r="A29" s="13"/>
      <c r="B29" s="230" t="s">
        <v>28</v>
      </c>
      <c r="C29" s="25">
        <v>41695.96</v>
      </c>
      <c r="D29" s="25">
        <v>52653.75</v>
      </c>
      <c r="E29" s="25">
        <v>42859.01</v>
      </c>
      <c r="F29" s="19"/>
      <c r="G29" s="26"/>
      <c r="H29" s="26"/>
      <c r="I29" s="26"/>
      <c r="J29" s="26"/>
      <c r="K29" s="26"/>
      <c r="L29" s="26"/>
      <c r="M29" s="26"/>
      <c r="N29" s="26"/>
    </row>
    <row r="30" spans="1:14" x14ac:dyDescent="0.25">
      <c r="A30" s="13"/>
      <c r="B30" s="230" t="s">
        <v>29</v>
      </c>
      <c r="C30" s="25">
        <v>742.94</v>
      </c>
      <c r="D30" s="25">
        <v>2123.16</v>
      </c>
      <c r="E30" s="25">
        <v>1832.22</v>
      </c>
      <c r="F30" s="19"/>
      <c r="G30" s="26"/>
      <c r="H30" s="26"/>
      <c r="I30" s="26"/>
      <c r="J30" s="26"/>
      <c r="K30" s="26"/>
      <c r="L30" s="26"/>
      <c r="M30" s="26"/>
      <c r="N30" s="26"/>
    </row>
    <row r="31" spans="1:14" x14ac:dyDescent="0.25">
      <c r="A31" s="13"/>
      <c r="B31" s="230" t="s">
        <v>30</v>
      </c>
      <c r="C31" s="25">
        <v>2201.4</v>
      </c>
      <c r="D31" s="25">
        <v>2201.4</v>
      </c>
      <c r="E31" s="25">
        <v>2201.4</v>
      </c>
      <c r="F31" s="19" t="s">
        <v>750</v>
      </c>
      <c r="G31" s="26"/>
      <c r="H31" s="26"/>
      <c r="I31" s="26"/>
      <c r="J31" s="26"/>
      <c r="K31" s="26"/>
      <c r="L31" s="26"/>
      <c r="M31" s="26"/>
      <c r="N31" s="26"/>
    </row>
    <row r="32" spans="1:14" x14ac:dyDescent="0.25">
      <c r="A32" s="13"/>
      <c r="B32" s="230" t="s">
        <v>31</v>
      </c>
      <c r="C32" s="25">
        <v>4913.68</v>
      </c>
      <c r="D32" s="25">
        <v>6970.49</v>
      </c>
      <c r="E32" s="25">
        <v>8737.36</v>
      </c>
      <c r="F32" s="19"/>
      <c r="G32" s="26"/>
      <c r="H32" s="26"/>
      <c r="I32" s="26"/>
      <c r="J32" s="26"/>
      <c r="K32" s="26"/>
      <c r="L32" s="26"/>
      <c r="M32" s="26"/>
      <c r="N32" s="26"/>
    </row>
    <row r="33" spans="1:14" x14ac:dyDescent="0.25">
      <c r="A33" s="13"/>
      <c r="B33" s="353" t="s">
        <v>769</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32" t="s">
        <v>245</v>
      </c>
      <c r="D38" s="17" t="s">
        <v>750</v>
      </c>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607</v>
      </c>
      <c r="D43" s="351"/>
      <c r="E43" s="352"/>
      <c r="F43" s="17"/>
      <c r="G43" s="26"/>
      <c r="H43" s="26"/>
      <c r="I43" s="26"/>
      <c r="J43" s="26"/>
      <c r="K43" s="26"/>
      <c r="L43" s="26"/>
      <c r="M43" s="26"/>
      <c r="N43" s="26"/>
    </row>
    <row r="44" spans="1:14" x14ac:dyDescent="0.25">
      <c r="A44" s="13"/>
      <c r="B44" s="21" t="s">
        <v>36</v>
      </c>
      <c r="C44" s="350" t="s">
        <v>814</v>
      </c>
      <c r="D44" s="351"/>
      <c r="E44" s="352"/>
      <c r="F44" s="17"/>
      <c r="G44" s="26"/>
      <c r="H44" s="26"/>
      <c r="I44" s="26"/>
      <c r="J44" s="26"/>
      <c r="K44" s="26"/>
      <c r="L44" s="26"/>
      <c r="M44" s="26"/>
      <c r="N44" s="26"/>
    </row>
    <row r="45" spans="1:14" x14ac:dyDescent="0.25">
      <c r="A45" s="13"/>
      <c r="B45" s="21" t="s">
        <v>37</v>
      </c>
      <c r="C45" s="350" t="s">
        <v>868</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t="s">
        <v>750</v>
      </c>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51" x14ac:dyDescent="0.25">
      <c r="A50" s="34"/>
      <c r="B50" s="94" t="s">
        <v>369</v>
      </c>
      <c r="C50" s="94" t="s">
        <v>608</v>
      </c>
      <c r="D50" s="33"/>
      <c r="E50" s="32"/>
      <c r="F50" s="26"/>
      <c r="G50" s="26"/>
      <c r="H50" s="26"/>
      <c r="I50" s="26"/>
      <c r="J50" s="26"/>
      <c r="K50" s="26"/>
      <c r="L50" s="26"/>
      <c r="M50" s="26"/>
    </row>
    <row r="51" spans="1:14" x14ac:dyDescent="0.25">
      <c r="A51" s="36"/>
      <c r="B51" s="345" t="s">
        <v>609</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610</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611</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15"/>
      <c r="F63" s="15"/>
      <c r="G63" s="15"/>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5" x14ac:dyDescent="0.25">
      <c r="A65" s="13"/>
      <c r="B65" s="21" t="s">
        <v>62</v>
      </c>
      <c r="C65" s="23" t="s">
        <v>612</v>
      </c>
      <c r="D65" s="52"/>
      <c r="E65" s="52"/>
      <c r="F65" s="52"/>
      <c r="G65" s="52"/>
      <c r="H65" s="19"/>
      <c r="I65" s="19"/>
      <c r="J65" s="19"/>
      <c r="K65" s="19"/>
      <c r="L65" s="19"/>
      <c r="M65" s="19"/>
      <c r="N65" s="19"/>
    </row>
    <row r="66" spans="1:15" x14ac:dyDescent="0.25">
      <c r="A66" s="13"/>
      <c r="B66" s="19"/>
      <c r="C66" s="19"/>
      <c r="D66" s="19"/>
      <c r="E66" s="19"/>
      <c r="F66" s="19"/>
      <c r="G66" s="19"/>
      <c r="H66" s="19"/>
      <c r="I66" s="19"/>
      <c r="J66" s="19"/>
      <c r="K66" s="19"/>
      <c r="L66" s="19"/>
      <c r="M66" s="19"/>
      <c r="N66" s="19"/>
    </row>
    <row r="67" spans="1:15" x14ac:dyDescent="0.25">
      <c r="A67" s="13"/>
      <c r="B67" s="333" t="s">
        <v>64</v>
      </c>
      <c r="C67" s="372" t="s">
        <v>613</v>
      </c>
      <c r="D67" s="372" t="s">
        <v>333</v>
      </c>
      <c r="E67" s="336" t="s">
        <v>294</v>
      </c>
      <c r="F67" s="327" t="s">
        <v>68</v>
      </c>
      <c r="G67" s="328"/>
      <c r="H67" s="329"/>
      <c r="I67" s="330" t="s">
        <v>69</v>
      </c>
      <c r="J67" s="330"/>
      <c r="K67" s="330"/>
      <c r="L67" s="330" t="s">
        <v>70</v>
      </c>
      <c r="M67" s="330"/>
      <c r="N67" s="330"/>
      <c r="O67" s="26"/>
    </row>
    <row r="68" spans="1:15"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c r="O68" s="26"/>
    </row>
    <row r="69" spans="1:15" x14ac:dyDescent="0.25">
      <c r="A69" s="4"/>
      <c r="B69" s="227" t="s">
        <v>75</v>
      </c>
      <c r="C69" s="53">
        <v>48</v>
      </c>
      <c r="D69" s="54">
        <v>65.25</v>
      </c>
      <c r="E69" s="54">
        <v>50</v>
      </c>
      <c r="F69" s="54">
        <v>44</v>
      </c>
      <c r="G69" s="54">
        <v>71.8</v>
      </c>
      <c r="H69" s="53">
        <v>43.1</v>
      </c>
      <c r="I69" s="53">
        <v>27.4</v>
      </c>
      <c r="J69" s="53">
        <v>49</v>
      </c>
      <c r="K69" s="53">
        <v>24.2</v>
      </c>
      <c r="L69" s="53">
        <v>19.350000000000001</v>
      </c>
      <c r="M69" s="53">
        <v>42.75</v>
      </c>
      <c r="N69" s="53">
        <v>16.350000000000001</v>
      </c>
      <c r="O69" s="26"/>
    </row>
    <row r="70" spans="1:15" ht="25.5" x14ac:dyDescent="0.25">
      <c r="A70" s="4"/>
      <c r="B70" s="227" t="s">
        <v>278</v>
      </c>
      <c r="C70" s="53">
        <v>33246.699999999997</v>
      </c>
      <c r="D70" s="53">
        <v>34843.51</v>
      </c>
      <c r="E70" s="53">
        <v>33835.74</v>
      </c>
      <c r="F70" s="54">
        <v>32968.68</v>
      </c>
      <c r="G70" s="54">
        <v>36443.980000000003</v>
      </c>
      <c r="H70" s="141">
        <v>29241.48</v>
      </c>
      <c r="I70" s="53">
        <v>38672.910000000003</v>
      </c>
      <c r="J70" s="53">
        <v>38989.65</v>
      </c>
      <c r="K70" s="53">
        <v>32972.559999999998</v>
      </c>
      <c r="L70" s="53">
        <v>29468.49</v>
      </c>
      <c r="M70" s="53">
        <v>42273.87</v>
      </c>
      <c r="N70" s="53">
        <v>25638.9</v>
      </c>
      <c r="O70" s="26"/>
    </row>
    <row r="71" spans="1:15" ht="13.5" x14ac:dyDescent="0.25">
      <c r="A71" s="4"/>
      <c r="B71" s="383" t="s">
        <v>21</v>
      </c>
      <c r="C71" s="383"/>
      <c r="D71" s="383"/>
      <c r="E71" s="383"/>
      <c r="F71" s="383"/>
      <c r="G71" s="383"/>
      <c r="H71" s="383"/>
      <c r="I71" s="383"/>
      <c r="J71" s="383"/>
      <c r="K71" s="383"/>
      <c r="L71" s="383"/>
      <c r="M71" s="383"/>
      <c r="N71" s="383"/>
      <c r="O71" s="26"/>
    </row>
    <row r="72" spans="1:15" x14ac:dyDescent="0.25">
      <c r="A72" s="4"/>
      <c r="B72" s="382" t="s">
        <v>79</v>
      </c>
      <c r="C72" s="382"/>
      <c r="D72" s="382"/>
      <c r="E72" s="382"/>
      <c r="F72" s="382"/>
      <c r="G72" s="382"/>
      <c r="H72" s="382"/>
      <c r="I72" s="382"/>
      <c r="J72" s="382"/>
      <c r="K72" s="382"/>
      <c r="L72" s="382"/>
      <c r="M72" s="382"/>
      <c r="N72" s="382"/>
      <c r="O72" s="26"/>
    </row>
    <row r="73" spans="1:15" s="57" customFormat="1" x14ac:dyDescent="0.25">
      <c r="B73" s="382" t="s">
        <v>80</v>
      </c>
      <c r="C73" s="382"/>
      <c r="D73" s="382"/>
      <c r="E73" s="382"/>
      <c r="F73" s="382"/>
      <c r="G73" s="382"/>
      <c r="H73" s="382"/>
      <c r="I73" s="382"/>
      <c r="J73" s="382"/>
      <c r="K73" s="382"/>
      <c r="L73" s="382"/>
      <c r="M73" s="382"/>
      <c r="N73" s="382"/>
    </row>
    <row r="74" spans="1:15" x14ac:dyDescent="0.25">
      <c r="A74" s="4"/>
      <c r="B74" s="382" t="s">
        <v>420</v>
      </c>
      <c r="C74" s="382"/>
      <c r="D74" s="382"/>
      <c r="E74" s="382"/>
      <c r="F74" s="382"/>
      <c r="G74" s="382"/>
      <c r="H74" s="382"/>
      <c r="I74" s="382"/>
      <c r="J74" s="382"/>
      <c r="K74" s="382"/>
      <c r="L74" s="382"/>
      <c r="M74" s="382"/>
      <c r="N74" s="382"/>
    </row>
    <row r="75" spans="1:15" x14ac:dyDescent="0.25">
      <c r="A75" s="4"/>
      <c r="B75" s="382" t="s">
        <v>82</v>
      </c>
      <c r="C75" s="382"/>
      <c r="D75" s="382"/>
      <c r="E75" s="382"/>
      <c r="F75" s="382"/>
      <c r="G75" s="382"/>
      <c r="H75" s="382"/>
      <c r="I75" s="382"/>
      <c r="J75" s="382"/>
      <c r="K75" s="382"/>
      <c r="L75" s="382"/>
      <c r="M75" s="382"/>
      <c r="N75" s="382"/>
    </row>
    <row r="76" spans="1:15" x14ac:dyDescent="0.25">
      <c r="A76" s="4"/>
      <c r="B76" s="58"/>
      <c r="C76" s="58"/>
      <c r="D76" s="58"/>
      <c r="E76" s="58"/>
      <c r="F76" s="58"/>
      <c r="G76" s="17"/>
      <c r="H76" s="17"/>
      <c r="I76" s="17"/>
      <c r="J76" s="17"/>
      <c r="K76" s="17"/>
      <c r="L76" s="17"/>
      <c r="M76" s="17"/>
      <c r="N76" s="17"/>
    </row>
    <row r="77" spans="1:15" x14ac:dyDescent="0.25">
      <c r="A77" s="13">
        <v>13</v>
      </c>
      <c r="B77" s="338" t="s">
        <v>83</v>
      </c>
      <c r="C77" s="339"/>
      <c r="D77" s="339"/>
      <c r="E77" s="339"/>
      <c r="F77" s="339"/>
      <c r="G77" s="340"/>
      <c r="H77" s="15"/>
      <c r="I77" s="15"/>
      <c r="J77" s="15"/>
      <c r="K77" s="15"/>
      <c r="L77" s="15"/>
      <c r="M77" s="15"/>
      <c r="N77" s="15"/>
    </row>
    <row r="78" spans="1:15" x14ac:dyDescent="0.25">
      <c r="A78" s="13"/>
      <c r="B78" s="26"/>
      <c r="C78" s="19"/>
      <c r="D78" s="19"/>
      <c r="E78" s="19"/>
      <c r="F78" s="19"/>
      <c r="G78" s="19"/>
      <c r="H78" s="19"/>
      <c r="I78" s="19"/>
      <c r="J78" s="19"/>
      <c r="K78" s="19"/>
      <c r="L78" s="19"/>
      <c r="M78" s="19"/>
      <c r="N78" s="19"/>
    </row>
    <row r="79" spans="1:15" ht="102" x14ac:dyDescent="0.25">
      <c r="A79" s="4"/>
      <c r="B79" s="224" t="s">
        <v>84</v>
      </c>
      <c r="C79" s="226" t="s">
        <v>85</v>
      </c>
      <c r="D79" s="226" t="s">
        <v>86</v>
      </c>
      <c r="E79" s="226" t="s">
        <v>280</v>
      </c>
      <c r="F79" s="226" t="s">
        <v>88</v>
      </c>
      <c r="G79" s="226" t="s">
        <v>169</v>
      </c>
      <c r="H79" s="17"/>
      <c r="I79" s="17"/>
      <c r="J79" s="17"/>
      <c r="K79" s="17"/>
      <c r="L79" s="17"/>
      <c r="M79" s="17"/>
      <c r="N79" s="17"/>
    </row>
    <row r="80" spans="1:15" ht="12.75" customHeight="1" x14ac:dyDescent="0.2">
      <c r="A80" s="4"/>
      <c r="B80" s="316" t="s">
        <v>90</v>
      </c>
      <c r="C80" s="5" t="s">
        <v>614</v>
      </c>
      <c r="D80" s="91">
        <v>5.1100000000000003</v>
      </c>
      <c r="E80" s="61">
        <v>4.1399999999999997</v>
      </c>
      <c r="F80" s="232">
        <v>9.64</v>
      </c>
      <c r="G80" s="61"/>
      <c r="H80" s="62"/>
      <c r="I80" s="62"/>
      <c r="J80" s="62"/>
      <c r="K80" s="62"/>
      <c r="L80" s="62"/>
      <c r="M80" s="62"/>
      <c r="N80" s="62"/>
    </row>
    <row r="81" spans="1:14" x14ac:dyDescent="0.25">
      <c r="A81" s="4"/>
      <c r="B81" s="316"/>
      <c r="C81" s="5" t="s">
        <v>92</v>
      </c>
      <c r="D81" s="229"/>
      <c r="E81" s="61"/>
      <c r="F81" s="232"/>
      <c r="G81" s="61"/>
      <c r="H81" s="62"/>
      <c r="I81" s="62"/>
      <c r="J81" s="62"/>
      <c r="K81" s="62"/>
      <c r="L81" s="62"/>
      <c r="M81" s="62"/>
      <c r="N81" s="62"/>
    </row>
    <row r="82" spans="1:14" x14ac:dyDescent="0.25">
      <c r="A82" s="4"/>
      <c r="B82" s="316"/>
      <c r="C82" s="25" t="s">
        <v>615</v>
      </c>
      <c r="D82" s="229">
        <v>3.76</v>
      </c>
      <c r="E82" s="61">
        <v>4.83</v>
      </c>
      <c r="F82" s="232">
        <v>5.7</v>
      </c>
      <c r="G82" s="61" t="s">
        <v>870</v>
      </c>
      <c r="H82" s="62"/>
      <c r="I82" s="62"/>
      <c r="J82" s="62"/>
      <c r="K82" s="62"/>
      <c r="L82" s="62"/>
      <c r="M82" s="62"/>
      <c r="N82" s="62"/>
    </row>
    <row r="83" spans="1:14" x14ac:dyDescent="0.25">
      <c r="A83" s="4"/>
      <c r="B83" s="316"/>
      <c r="C83" s="25" t="s">
        <v>616</v>
      </c>
      <c r="D83" s="229">
        <v>12.72</v>
      </c>
      <c r="E83" s="61">
        <v>6.32</v>
      </c>
      <c r="F83" s="232">
        <v>23.12</v>
      </c>
      <c r="G83" s="61">
        <v>31.65</v>
      </c>
      <c r="H83" s="62"/>
      <c r="I83" s="62"/>
      <c r="J83" s="62"/>
      <c r="K83" s="62"/>
      <c r="L83" s="62"/>
      <c r="M83" s="62"/>
      <c r="N83" s="62"/>
    </row>
    <row r="84" spans="1:14" x14ac:dyDescent="0.25">
      <c r="A84" s="4"/>
      <c r="B84" s="316"/>
      <c r="C84" s="25" t="s">
        <v>617</v>
      </c>
      <c r="D84" s="229">
        <v>8.18</v>
      </c>
      <c r="E84" s="61">
        <v>12.09</v>
      </c>
      <c r="F84" s="232">
        <v>19.89</v>
      </c>
      <c r="G84" s="61">
        <v>25.96</v>
      </c>
      <c r="H84" s="62"/>
      <c r="I84" s="62"/>
      <c r="J84" s="62"/>
      <c r="K84" s="62"/>
      <c r="L84" s="62"/>
      <c r="M84" s="62"/>
      <c r="N84" s="62"/>
    </row>
    <row r="85" spans="1:14" x14ac:dyDescent="0.25">
      <c r="A85" s="4"/>
      <c r="B85" s="316"/>
      <c r="C85" s="25" t="s">
        <v>618</v>
      </c>
      <c r="D85" s="229">
        <v>8.6300000000000008</v>
      </c>
      <c r="E85" s="61">
        <v>11.4</v>
      </c>
      <c r="F85" s="232">
        <v>12.66</v>
      </c>
      <c r="G85" s="61">
        <v>11.76</v>
      </c>
      <c r="H85" s="62"/>
      <c r="I85" s="62"/>
      <c r="J85" s="62"/>
      <c r="K85" s="62"/>
      <c r="L85" s="62"/>
      <c r="M85" s="62"/>
      <c r="N85" s="62"/>
    </row>
    <row r="86" spans="1:14" x14ac:dyDescent="0.25">
      <c r="A86" s="4"/>
      <c r="B86" s="316"/>
      <c r="C86" s="5" t="s">
        <v>93</v>
      </c>
      <c r="D86" s="186">
        <f>SUM(D82:D85)/4</f>
        <v>8.3224999999999998</v>
      </c>
      <c r="E86" s="186">
        <f>SUM(E82:E85)/4</f>
        <v>8.66</v>
      </c>
      <c r="F86" s="186">
        <f>SUM(F82:F85)/4</f>
        <v>15.342500000000001</v>
      </c>
      <c r="G86" s="61"/>
      <c r="H86" s="62"/>
      <c r="I86" s="62"/>
      <c r="J86" s="62"/>
      <c r="K86" s="62"/>
      <c r="L86" s="62"/>
      <c r="M86" s="62"/>
      <c r="N86" s="62"/>
    </row>
    <row r="87" spans="1:14" x14ac:dyDescent="0.2">
      <c r="A87" s="4"/>
      <c r="B87" s="316" t="s">
        <v>94</v>
      </c>
      <c r="C87" s="5" t="s">
        <v>614</v>
      </c>
      <c r="D87" s="93">
        <v>7.83</v>
      </c>
      <c r="E87" s="64">
        <f>F69/E80</f>
        <v>10.628019323671499</v>
      </c>
      <c r="F87" s="235">
        <f>I69/F80</f>
        <v>2.8423236514522818</v>
      </c>
      <c r="G87" s="61"/>
      <c r="H87" s="62"/>
      <c r="I87" s="62"/>
      <c r="J87" s="62"/>
      <c r="K87" s="62"/>
      <c r="L87" s="62"/>
      <c r="M87" s="62"/>
      <c r="N87" s="62"/>
    </row>
    <row r="88" spans="1:14" x14ac:dyDescent="0.25">
      <c r="A88" s="4"/>
      <c r="B88" s="316"/>
      <c r="C88" s="5" t="s">
        <v>92</v>
      </c>
      <c r="D88" s="229"/>
      <c r="E88" s="61"/>
      <c r="F88" s="232"/>
      <c r="G88" s="61"/>
      <c r="H88" s="62"/>
      <c r="I88" s="62"/>
      <c r="J88" s="62"/>
      <c r="K88" s="62"/>
      <c r="L88" s="62"/>
      <c r="M88" s="62"/>
      <c r="N88" s="62"/>
    </row>
    <row r="89" spans="1:14" x14ac:dyDescent="0.25">
      <c r="A89" s="4"/>
      <c r="B89" s="316"/>
      <c r="C89" s="25" t="s">
        <v>615</v>
      </c>
      <c r="D89" s="229">
        <v>35.86</v>
      </c>
      <c r="E89" s="64">
        <f>80.75/E82</f>
        <v>16.718426501035196</v>
      </c>
      <c r="F89" s="235">
        <f>65.4/F82</f>
        <v>11.473684210526317</v>
      </c>
      <c r="G89" s="61" t="s">
        <v>870</v>
      </c>
      <c r="H89" s="62"/>
      <c r="I89" s="62"/>
      <c r="J89" s="62"/>
      <c r="K89" s="62"/>
      <c r="L89" s="62"/>
      <c r="M89" s="62"/>
      <c r="N89" s="62"/>
    </row>
    <row r="90" spans="1:14" x14ac:dyDescent="0.25">
      <c r="A90" s="4"/>
      <c r="B90" s="316"/>
      <c r="C90" s="25" t="s">
        <v>616</v>
      </c>
      <c r="D90" s="229">
        <v>26.53</v>
      </c>
      <c r="E90" s="64">
        <f>384.8/E83</f>
        <v>60.88607594936709</v>
      </c>
      <c r="F90" s="235">
        <f>425.6/F83</f>
        <v>18.408304498269896</v>
      </c>
      <c r="G90" s="61">
        <v>9.35</v>
      </c>
      <c r="H90" s="62"/>
      <c r="I90" s="62"/>
      <c r="J90" s="62"/>
      <c r="K90" s="62"/>
      <c r="L90" s="62"/>
      <c r="M90" s="62"/>
      <c r="N90" s="62"/>
    </row>
    <row r="91" spans="1:14" x14ac:dyDescent="0.25">
      <c r="A91" s="4"/>
      <c r="B91" s="316"/>
      <c r="C91" s="25" t="s">
        <v>617</v>
      </c>
      <c r="D91" s="229">
        <v>21.45</v>
      </c>
      <c r="E91" s="64">
        <f>130.2/E84</f>
        <v>10.769230769230768</v>
      </c>
      <c r="F91" s="235">
        <f>220.55/F84</f>
        <v>11.088486676721971</v>
      </c>
      <c r="G91" s="61">
        <v>3.14</v>
      </c>
      <c r="H91" s="62"/>
      <c r="I91" s="62"/>
      <c r="J91" s="62"/>
      <c r="K91" s="62"/>
      <c r="L91" s="62"/>
      <c r="M91" s="62"/>
      <c r="N91" s="62"/>
    </row>
    <row r="92" spans="1:14" x14ac:dyDescent="0.25">
      <c r="A92" s="4"/>
      <c r="B92" s="316"/>
      <c r="C92" s="25" t="s">
        <v>618</v>
      </c>
      <c r="D92" s="229">
        <v>58</v>
      </c>
      <c r="E92" s="64">
        <f>487.75/E85</f>
        <v>42.785087719298247</v>
      </c>
      <c r="F92" s="235">
        <f>770.95/F85</f>
        <v>60.896524486571884</v>
      </c>
      <c r="G92" s="61">
        <v>40.840000000000003</v>
      </c>
      <c r="H92" s="62"/>
      <c r="I92" s="62"/>
      <c r="J92" s="62"/>
      <c r="K92" s="62"/>
      <c r="L92" s="62"/>
      <c r="M92" s="62"/>
      <c r="N92" s="62"/>
    </row>
    <row r="93" spans="1:14" x14ac:dyDescent="0.25">
      <c r="A93" s="4"/>
      <c r="B93" s="316"/>
      <c r="C93" s="5" t="s">
        <v>93</v>
      </c>
      <c r="D93" s="186">
        <f>SUM(D89:D92)/4</f>
        <v>35.46</v>
      </c>
      <c r="E93" s="186">
        <f>SUM(E89:E92)/4</f>
        <v>32.789705234732828</v>
      </c>
      <c r="F93" s="186">
        <f>SUM(F89:F92)/4</f>
        <v>25.466749968022519</v>
      </c>
      <c r="G93" s="61"/>
      <c r="H93" s="62"/>
      <c r="I93" s="62"/>
      <c r="J93" s="62"/>
      <c r="K93" s="62"/>
      <c r="L93" s="62"/>
      <c r="M93" s="62"/>
      <c r="N93" s="62"/>
    </row>
    <row r="94" spans="1:14" x14ac:dyDescent="0.2">
      <c r="A94" s="4"/>
      <c r="B94" s="316" t="s">
        <v>95</v>
      </c>
      <c r="C94" s="5" t="s">
        <v>614</v>
      </c>
      <c r="D94" s="91">
        <v>19.18</v>
      </c>
      <c r="E94" s="198">
        <f>742.94/7115.08*100</f>
        <v>10.44176593938508</v>
      </c>
      <c r="F94" s="235">
        <f>2123.16/9171.89*100</f>
        <v>23.148554987031027</v>
      </c>
      <c r="G94" s="61"/>
      <c r="H94" s="62"/>
      <c r="I94" s="62"/>
      <c r="J94" s="62"/>
      <c r="K94" s="62"/>
      <c r="L94" s="62"/>
      <c r="M94" s="62"/>
      <c r="N94" s="62"/>
    </row>
    <row r="95" spans="1:14" x14ac:dyDescent="0.25">
      <c r="A95" s="4"/>
      <c r="B95" s="316"/>
      <c r="C95" s="5" t="s">
        <v>92</v>
      </c>
      <c r="D95" s="229"/>
      <c r="E95" s="61"/>
      <c r="F95" s="232"/>
      <c r="G95" s="61"/>
      <c r="H95" s="62"/>
      <c r="I95" s="62"/>
      <c r="J95" s="62"/>
      <c r="K95" s="62"/>
      <c r="L95" s="62"/>
      <c r="M95" s="62"/>
      <c r="N95" s="62"/>
    </row>
    <row r="96" spans="1:14" x14ac:dyDescent="0.25">
      <c r="A96" s="4"/>
      <c r="B96" s="316"/>
      <c r="C96" s="25" t="s">
        <v>615</v>
      </c>
      <c r="D96" s="229">
        <v>4.09</v>
      </c>
      <c r="E96" s="198">
        <f>626.2/12725.8*100</f>
        <v>4.9207122538465171</v>
      </c>
      <c r="F96" s="235">
        <f>735.42/13462.04*100</f>
        <v>5.4629164673407589</v>
      </c>
      <c r="G96" s="61" t="s">
        <v>870</v>
      </c>
      <c r="H96" s="62"/>
      <c r="I96" s="62"/>
      <c r="J96" s="62"/>
      <c r="K96" s="62"/>
      <c r="L96" s="62"/>
      <c r="M96" s="62"/>
      <c r="N96" s="62"/>
    </row>
    <row r="97" spans="1:14" x14ac:dyDescent="0.25">
      <c r="A97" s="4"/>
      <c r="B97" s="316"/>
      <c r="C97" s="25" t="s">
        <v>616</v>
      </c>
      <c r="D97" s="229">
        <v>20.83</v>
      </c>
      <c r="E97" s="198">
        <f>1445.56/6045.32*100</f>
        <v>23.91205097496907</v>
      </c>
      <c r="F97" s="235">
        <f>1818.71/7788.93*100</f>
        <v>23.349933816326505</v>
      </c>
      <c r="G97" s="61">
        <v>22.6</v>
      </c>
      <c r="H97" s="62"/>
      <c r="I97" s="62"/>
      <c r="J97" s="62"/>
      <c r="K97" s="62"/>
      <c r="L97" s="62"/>
      <c r="M97" s="62"/>
      <c r="N97" s="62"/>
    </row>
    <row r="98" spans="1:14" x14ac:dyDescent="0.25">
      <c r="A98" s="4"/>
      <c r="B98" s="316"/>
      <c r="C98" s="25" t="s">
        <v>617</v>
      </c>
      <c r="D98" s="229">
        <v>13.22</v>
      </c>
      <c r="E98" s="198">
        <f>4194.46/33651.58*100</f>
        <v>12.464377601289449</v>
      </c>
      <c r="F98" s="235">
        <f>6899.83/42532.14*100</f>
        <v>16.222625995306139</v>
      </c>
      <c r="G98" s="61">
        <v>2.6</v>
      </c>
      <c r="H98" s="62"/>
      <c r="I98" s="62"/>
      <c r="J98" s="62"/>
      <c r="K98" s="62"/>
      <c r="L98" s="62"/>
      <c r="M98" s="62"/>
      <c r="N98" s="62"/>
    </row>
    <row r="99" spans="1:14" x14ac:dyDescent="0.25">
      <c r="A99" s="4"/>
      <c r="B99" s="316"/>
      <c r="C99" s="25" t="s">
        <v>618</v>
      </c>
      <c r="D99" s="229">
        <v>15.22</v>
      </c>
      <c r="E99" s="198">
        <f>1014.7/3739.15*100</f>
        <v>27.137183584504498</v>
      </c>
      <c r="F99" s="235">
        <f>791.52/4242.53*100</f>
        <v>18.656792055683756</v>
      </c>
      <c r="G99" s="61">
        <v>17.29</v>
      </c>
      <c r="H99" s="62"/>
      <c r="I99" s="62"/>
      <c r="J99" s="62"/>
      <c r="K99" s="62"/>
      <c r="L99" s="62"/>
      <c r="M99" s="62"/>
      <c r="N99" s="62"/>
    </row>
    <row r="100" spans="1:14" x14ac:dyDescent="0.25">
      <c r="A100" s="4"/>
      <c r="B100" s="316"/>
      <c r="C100" s="5" t="s">
        <v>93</v>
      </c>
      <c r="D100" s="186">
        <f>SUM(D96:D99)/4</f>
        <v>13.34</v>
      </c>
      <c r="E100" s="186">
        <f>SUM(E96:E99)/4</f>
        <v>17.108581103652384</v>
      </c>
      <c r="F100" s="186">
        <f>SUM(F96:F99)/4</f>
        <v>15.923067083664289</v>
      </c>
      <c r="G100" s="61"/>
      <c r="H100" s="62"/>
      <c r="I100" s="62"/>
      <c r="J100" s="62"/>
      <c r="K100" s="66"/>
      <c r="L100" s="62"/>
      <c r="M100" s="62"/>
      <c r="N100" s="62"/>
    </row>
    <row r="101" spans="1:14" x14ac:dyDescent="0.2">
      <c r="A101" s="4"/>
      <c r="B101" s="316" t="s">
        <v>96</v>
      </c>
      <c r="C101" s="5" t="s">
        <v>614</v>
      </c>
      <c r="D101" s="91">
        <v>38.299999999999997</v>
      </c>
      <c r="E101" s="64">
        <f>7115.08/220.14</f>
        <v>32.320705005905332</v>
      </c>
      <c r="F101" s="235">
        <f>9171.89*100000/22014000</f>
        <v>41.663895702734621</v>
      </c>
      <c r="G101" s="61"/>
      <c r="H101" s="62"/>
      <c r="I101" s="62"/>
      <c r="J101" s="62"/>
      <c r="K101" s="62"/>
      <c r="L101" s="62"/>
      <c r="M101" s="62"/>
      <c r="N101" s="62"/>
    </row>
    <row r="102" spans="1:14" x14ac:dyDescent="0.25">
      <c r="A102" s="4"/>
      <c r="B102" s="316"/>
      <c r="C102" s="5" t="s">
        <v>92</v>
      </c>
      <c r="D102" s="229"/>
      <c r="E102" s="61"/>
      <c r="F102" s="232"/>
      <c r="G102" s="61"/>
      <c r="H102" s="62"/>
      <c r="I102" s="62"/>
      <c r="J102" s="62"/>
      <c r="K102" s="62"/>
      <c r="L102" s="62"/>
      <c r="M102" s="62"/>
      <c r="N102" s="62"/>
    </row>
    <row r="103" spans="1:14" x14ac:dyDescent="0.25">
      <c r="A103" s="4"/>
      <c r="B103" s="386"/>
      <c r="C103" s="25" t="s">
        <v>615</v>
      </c>
      <c r="D103" s="229">
        <v>95.07</v>
      </c>
      <c r="E103" s="64">
        <f>12725.8/129.27</f>
        <v>98.443567726463982</v>
      </c>
      <c r="F103" s="235">
        <f>13462.04*100000/12927800</f>
        <v>104.13248967341698</v>
      </c>
      <c r="G103" s="61" t="s">
        <v>870</v>
      </c>
      <c r="H103" s="62" t="s">
        <v>750</v>
      </c>
      <c r="I103" s="62"/>
      <c r="J103" s="62"/>
      <c r="K103" s="62"/>
      <c r="L103" s="62"/>
      <c r="M103" s="62"/>
      <c r="N103" s="62"/>
    </row>
    <row r="104" spans="1:14" x14ac:dyDescent="0.25">
      <c r="A104" s="4"/>
      <c r="B104" s="386"/>
      <c r="C104" s="25" t="s">
        <v>616</v>
      </c>
      <c r="D104" s="229">
        <v>60.42</v>
      </c>
      <c r="E104" s="64">
        <f>6045.32/78.36</f>
        <v>77.148034711587542</v>
      </c>
      <c r="F104" s="235">
        <f>(7788.93*1000000)/(157.85*100000)</f>
        <v>493.43870763382961</v>
      </c>
      <c r="G104" s="61">
        <v>166.95</v>
      </c>
      <c r="H104" s="62"/>
      <c r="I104" s="62"/>
      <c r="J104" s="62"/>
      <c r="K104" s="62"/>
      <c r="L104" s="62"/>
      <c r="M104" s="62"/>
      <c r="N104" s="62"/>
    </row>
    <row r="105" spans="1:14" x14ac:dyDescent="0.25">
      <c r="A105" s="4"/>
      <c r="B105" s="386"/>
      <c r="C105" s="25" t="s">
        <v>617</v>
      </c>
      <c r="D105" s="229">
        <v>61.89</v>
      </c>
      <c r="E105" s="64">
        <f>33651.58/346.98</f>
        <v>96.984206582511959</v>
      </c>
      <c r="F105" s="235">
        <f>42532.14*100000/34698300</f>
        <v>122.57701385946862</v>
      </c>
      <c r="G105" s="61">
        <v>271.14</v>
      </c>
      <c r="H105" s="62"/>
      <c r="I105" s="62"/>
      <c r="J105" s="62"/>
      <c r="K105" s="62"/>
      <c r="L105" s="62"/>
      <c r="M105" s="62"/>
      <c r="N105" s="62"/>
    </row>
    <row r="106" spans="1:14" x14ac:dyDescent="0.25">
      <c r="A106" s="4"/>
      <c r="B106" s="386"/>
      <c r="C106" s="25" t="s">
        <v>618</v>
      </c>
      <c r="D106" s="229">
        <v>53.02</v>
      </c>
      <c r="E106" s="64">
        <f>3739.15/62.51</f>
        <v>59.816829307310833</v>
      </c>
      <c r="F106" s="235">
        <f>4242.53*100000/625500</f>
        <v>678.26219024780175</v>
      </c>
      <c r="G106" s="61">
        <v>68.89</v>
      </c>
      <c r="H106" s="62"/>
      <c r="I106" s="62"/>
      <c r="J106" s="62"/>
      <c r="K106" s="62"/>
      <c r="L106" s="62"/>
      <c r="M106" s="62"/>
      <c r="N106" s="62"/>
    </row>
    <row r="107" spans="1:14" x14ac:dyDescent="0.25">
      <c r="A107" s="4"/>
      <c r="B107" s="386"/>
      <c r="C107" s="5" t="s">
        <v>93</v>
      </c>
      <c r="D107" s="186">
        <f>SUM(D103:D106)/4</f>
        <v>67.599999999999994</v>
      </c>
      <c r="E107" s="186">
        <f>SUM(E103:E106)/4</f>
        <v>83.098159581968588</v>
      </c>
      <c r="F107" s="186">
        <f>SUM(F103:F106)/4</f>
        <v>349.60260035362921</v>
      </c>
      <c r="G107" s="61"/>
      <c r="H107" s="62"/>
      <c r="I107" s="62"/>
      <c r="J107" s="62"/>
      <c r="K107" s="62"/>
      <c r="L107" s="62"/>
      <c r="M107" s="62"/>
      <c r="N107" s="62"/>
    </row>
    <row r="108" spans="1:14" s="57" customFormat="1" x14ac:dyDescent="0.25">
      <c r="B108" s="387"/>
      <c r="C108" s="388"/>
      <c r="D108" s="388"/>
      <c r="E108" s="388"/>
      <c r="F108" s="388"/>
      <c r="G108" s="389"/>
    </row>
    <row r="109" spans="1:14" x14ac:dyDescent="0.25">
      <c r="A109" s="4"/>
      <c r="B109" s="376" t="s">
        <v>619</v>
      </c>
      <c r="C109" s="377"/>
      <c r="D109" s="377"/>
      <c r="E109" s="377"/>
      <c r="F109" s="377"/>
      <c r="G109" s="378"/>
      <c r="H109" s="62"/>
      <c r="I109" s="62"/>
      <c r="J109" s="62"/>
      <c r="K109" s="62"/>
      <c r="L109" s="62"/>
      <c r="M109" s="62"/>
      <c r="N109" s="62"/>
    </row>
    <row r="110" spans="1:14" x14ac:dyDescent="0.25">
      <c r="A110" s="4"/>
      <c r="B110" s="379" t="s">
        <v>128</v>
      </c>
      <c r="C110" s="380"/>
      <c r="D110" s="380"/>
      <c r="E110" s="380"/>
      <c r="F110" s="380"/>
      <c r="G110" s="381"/>
      <c r="H110" s="62"/>
      <c r="I110" s="62"/>
      <c r="J110" s="62"/>
      <c r="K110" s="62"/>
      <c r="L110" s="62"/>
      <c r="M110" s="62"/>
      <c r="N110" s="62"/>
    </row>
    <row r="111" spans="1:14" x14ac:dyDescent="0.25">
      <c r="A111" s="4"/>
      <c r="B111" s="353"/>
      <c r="C111" s="354"/>
      <c r="D111" s="354"/>
      <c r="E111" s="354"/>
      <c r="F111" s="354"/>
      <c r="G111" s="355"/>
      <c r="H111" s="62"/>
      <c r="I111" s="62"/>
      <c r="J111" s="62"/>
      <c r="K111" s="62"/>
      <c r="L111" s="62"/>
      <c r="M111" s="62"/>
      <c r="N111" s="62"/>
    </row>
    <row r="112" spans="1:14" x14ac:dyDescent="0.25">
      <c r="A112" s="26"/>
      <c r="B112" s="12"/>
      <c r="C112" s="323"/>
      <c r="D112" s="323"/>
      <c r="E112" s="323"/>
      <c r="F112" s="323"/>
      <c r="G112" s="323"/>
      <c r="H112" s="62"/>
      <c r="I112" s="62"/>
      <c r="J112" s="26"/>
      <c r="K112" s="26"/>
      <c r="L112" s="26"/>
      <c r="M112" s="26"/>
      <c r="N112" s="26"/>
    </row>
    <row r="113" spans="1:14" x14ac:dyDescent="0.25">
      <c r="A113" s="13">
        <v>14</v>
      </c>
      <c r="B113" s="70" t="s">
        <v>99</v>
      </c>
      <c r="C113" s="324" t="s">
        <v>48</v>
      </c>
      <c r="D113" s="325"/>
      <c r="E113" s="325"/>
      <c r="F113" s="325"/>
      <c r="G113" s="326"/>
      <c r="H113" s="26"/>
      <c r="I113" s="26"/>
      <c r="J113" s="26"/>
      <c r="K113" s="26"/>
      <c r="L113" s="26"/>
      <c r="M113" s="26"/>
      <c r="N113" s="26"/>
    </row>
    <row r="114" spans="1:14" x14ac:dyDescent="0.25">
      <c r="A114" s="71"/>
      <c r="B114" s="26"/>
      <c r="C114" s="84"/>
      <c r="D114" s="84"/>
      <c r="E114" s="84"/>
      <c r="F114" s="84"/>
      <c r="G114" s="84"/>
      <c r="H114" s="26"/>
      <c r="I114" s="26"/>
      <c r="J114" s="26"/>
      <c r="K114" s="26"/>
      <c r="L114" s="26"/>
      <c r="M114" s="26"/>
      <c r="N114" s="26"/>
    </row>
    <row r="115" spans="1:14" x14ac:dyDescent="0.25">
      <c r="A115" s="26"/>
      <c r="B115" s="374" t="s">
        <v>620</v>
      </c>
      <c r="C115" s="375"/>
      <c r="D115" s="375"/>
      <c r="E115" s="375"/>
      <c r="F115" s="375"/>
      <c r="G115" s="375"/>
      <c r="H115" s="375"/>
      <c r="I115" s="26"/>
      <c r="J115" s="26"/>
      <c r="K115" s="26"/>
      <c r="L115" s="26"/>
      <c r="M115" s="26"/>
      <c r="N115" s="26"/>
    </row>
    <row r="116" spans="1:14" x14ac:dyDescent="0.25">
      <c r="A116" s="26"/>
      <c r="I116" s="26"/>
      <c r="J116" s="26"/>
      <c r="K116" s="26"/>
      <c r="L116" s="26"/>
      <c r="M116" s="26"/>
      <c r="N116" s="26"/>
    </row>
    <row r="117" spans="1:14" x14ac:dyDescent="0.25">
      <c r="A117" s="26"/>
      <c r="J117" s="26"/>
      <c r="K117" s="26"/>
      <c r="L117" s="26"/>
      <c r="M117" s="26"/>
      <c r="N117"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4:B100"/>
    <mergeCell ref="B101:B107"/>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6"/>
    <mergeCell ref="B87:B93"/>
    <mergeCell ref="B115:H115"/>
    <mergeCell ref="B108:G108"/>
    <mergeCell ref="B109:G109"/>
    <mergeCell ref="B110:G110"/>
    <mergeCell ref="B111:G111"/>
    <mergeCell ref="C112:G112"/>
    <mergeCell ref="C113:G113"/>
  </mergeCell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topLeftCell="A24" workbookViewId="0">
      <selection activeCell="B46" sqref="B46:E46"/>
    </sheetView>
  </sheetViews>
  <sheetFormatPr defaultColWidth="8.85546875" defaultRowHeight="12.75" x14ac:dyDescent="0.25"/>
  <cols>
    <col min="1" max="1" width="8.85546875" style="73"/>
    <col min="2"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621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622</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623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228" t="s">
        <v>624</v>
      </c>
      <c r="C19" s="363" t="s">
        <v>16</v>
      </c>
      <c r="D19" s="363"/>
      <c r="E19" s="363"/>
      <c r="F19" s="19"/>
      <c r="G19" s="17"/>
      <c r="I19" s="17"/>
      <c r="J19" s="17"/>
      <c r="K19" s="17"/>
      <c r="L19" s="17"/>
      <c r="M19" s="17"/>
      <c r="N19" s="17"/>
    </row>
    <row r="20" spans="1:14" x14ac:dyDescent="0.25">
      <c r="A20" s="13"/>
      <c r="B20" s="228" t="s">
        <v>18</v>
      </c>
      <c r="C20" s="363" t="s">
        <v>16</v>
      </c>
      <c r="D20" s="363"/>
      <c r="E20" s="36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426" t="s">
        <v>16</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26</v>
      </c>
      <c r="E28" s="226" t="s">
        <v>355</v>
      </c>
      <c r="F28" s="19"/>
      <c r="G28" s="26"/>
      <c r="H28" s="26"/>
      <c r="I28" s="26"/>
      <c r="J28" s="26"/>
      <c r="K28" s="26"/>
      <c r="L28" s="26"/>
      <c r="M28" s="26"/>
      <c r="N28" s="26"/>
    </row>
    <row r="29" spans="1:14" x14ac:dyDescent="0.25">
      <c r="A29" s="13"/>
      <c r="B29" s="230" t="s">
        <v>28</v>
      </c>
      <c r="C29" s="113">
        <v>1699.52</v>
      </c>
      <c r="D29" s="113">
        <v>3840.94</v>
      </c>
      <c r="E29" s="25">
        <v>3206.29</v>
      </c>
      <c r="F29" s="19"/>
      <c r="G29" s="26"/>
      <c r="H29" s="26"/>
      <c r="I29" s="26"/>
      <c r="J29" s="26"/>
      <c r="K29" s="26"/>
      <c r="L29" s="26"/>
      <c r="M29" s="26"/>
      <c r="N29" s="26"/>
    </row>
    <row r="30" spans="1:14" x14ac:dyDescent="0.25">
      <c r="A30" s="13"/>
      <c r="B30" s="230" t="s">
        <v>29</v>
      </c>
      <c r="C30" s="113">
        <v>56.01</v>
      </c>
      <c r="D30" s="113">
        <v>153.09</v>
      </c>
      <c r="E30" s="25">
        <v>85.62</v>
      </c>
      <c r="F30" s="19"/>
      <c r="G30" s="26"/>
      <c r="H30" s="26"/>
      <c r="I30" s="26"/>
      <c r="J30" s="26"/>
      <c r="K30" s="26"/>
      <c r="L30" s="26"/>
      <c r="M30" s="26"/>
      <c r="N30" s="26"/>
    </row>
    <row r="31" spans="1:14" x14ac:dyDescent="0.25">
      <c r="A31" s="13"/>
      <c r="B31" s="230" t="s">
        <v>30</v>
      </c>
      <c r="C31" s="113">
        <v>599.26</v>
      </c>
      <c r="D31" s="113">
        <v>599.26</v>
      </c>
      <c r="E31" s="113">
        <v>599.26</v>
      </c>
      <c r="F31" s="19" t="s">
        <v>750</v>
      </c>
      <c r="G31" s="26"/>
      <c r="H31" s="26"/>
      <c r="I31" s="26"/>
      <c r="J31" s="26"/>
      <c r="K31" s="26"/>
      <c r="L31" s="26"/>
      <c r="M31" s="26"/>
      <c r="N31" s="26"/>
    </row>
    <row r="32" spans="1:14" x14ac:dyDescent="0.25">
      <c r="A32" s="13"/>
      <c r="B32" s="230" t="s">
        <v>31</v>
      </c>
      <c r="C32" s="113">
        <v>308.64</v>
      </c>
      <c r="D32" s="113">
        <v>462.15</v>
      </c>
      <c r="E32" s="25">
        <v>524.44000000000005</v>
      </c>
      <c r="F32" s="19"/>
      <c r="G32" s="26"/>
      <c r="H32" s="26"/>
      <c r="I32" s="26"/>
      <c r="J32" s="26"/>
      <c r="K32" s="26"/>
      <c r="L32" s="26"/>
      <c r="M32" s="26"/>
      <c r="N32" s="26"/>
    </row>
    <row r="33" spans="1:14" ht="12.75" customHeight="1" x14ac:dyDescent="0.25">
      <c r="A33" s="13"/>
      <c r="B33" s="353" t="s">
        <v>306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32" t="s">
        <v>245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t="s">
        <v>750</v>
      </c>
      <c r="H42" s="15"/>
      <c r="I42" s="15"/>
      <c r="J42" s="15"/>
      <c r="K42" s="26"/>
      <c r="L42" s="26"/>
      <c r="M42" s="26"/>
      <c r="N42" s="26"/>
    </row>
    <row r="43" spans="1:14" x14ac:dyDescent="0.25">
      <c r="A43" s="13"/>
      <c r="B43" s="227" t="s">
        <v>39</v>
      </c>
      <c r="C43" s="350" t="s">
        <v>16</v>
      </c>
      <c r="D43" s="351"/>
      <c r="E43" s="352"/>
      <c r="F43" s="17"/>
      <c r="G43" s="26"/>
      <c r="H43" s="26"/>
      <c r="I43" s="26"/>
      <c r="J43" s="26"/>
      <c r="K43" s="26"/>
      <c r="L43" s="26"/>
      <c r="M43" s="26"/>
      <c r="N43" s="26"/>
    </row>
    <row r="44" spans="1:14" ht="64.5" customHeight="1" x14ac:dyDescent="0.25">
      <c r="A44" s="13"/>
      <c r="B44" s="227" t="s">
        <v>36</v>
      </c>
      <c r="C44" s="350" t="s">
        <v>875</v>
      </c>
      <c r="D44" s="351"/>
      <c r="E44" s="352"/>
      <c r="F44" s="17"/>
      <c r="G44" s="26"/>
      <c r="H44" s="26"/>
      <c r="I44" s="26"/>
      <c r="J44" s="26"/>
      <c r="K44" s="26"/>
      <c r="L44" s="26"/>
      <c r="M44" s="26"/>
      <c r="N44" s="26"/>
    </row>
    <row r="45" spans="1:14" x14ac:dyDescent="0.25">
      <c r="A45" s="13"/>
      <c r="B45" s="227" t="s">
        <v>37</v>
      </c>
      <c r="C45" s="367" t="s">
        <v>16</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8.25" x14ac:dyDescent="0.25">
      <c r="A50" s="34"/>
      <c r="B50" s="94" t="s">
        <v>369</v>
      </c>
      <c r="C50" s="94" t="s">
        <v>625</v>
      </c>
      <c r="D50" s="33"/>
      <c r="E50" s="32"/>
      <c r="F50" s="26"/>
      <c r="G50" s="26"/>
      <c r="H50" s="26"/>
      <c r="I50" s="26"/>
      <c r="J50" s="26"/>
      <c r="K50" s="26"/>
      <c r="L50" s="26"/>
      <c r="M50" s="26"/>
    </row>
    <row r="51" spans="1:14" x14ac:dyDescent="0.25">
      <c r="A51" s="36"/>
      <c r="B51" s="345" t="s">
        <v>626</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627</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626</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15"/>
      <c r="F64" s="51"/>
      <c r="G64" s="51"/>
      <c r="H64" s="51"/>
      <c r="I64" s="15"/>
      <c r="J64" s="15"/>
      <c r="K64" s="15"/>
      <c r="L64" s="15"/>
      <c r="M64" s="15"/>
      <c r="N64" s="15"/>
    </row>
    <row r="65" spans="1:14" x14ac:dyDescent="0.25">
      <c r="A65" s="13"/>
      <c r="B65" s="21" t="s">
        <v>62</v>
      </c>
      <c r="C65" s="23" t="s">
        <v>383</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628</v>
      </c>
      <c r="D67" s="372" t="s">
        <v>333</v>
      </c>
      <c r="E67" s="336" t="s">
        <v>294</v>
      </c>
      <c r="F67" s="327" t="s">
        <v>68</v>
      </c>
      <c r="G67" s="328"/>
      <c r="H67" s="329"/>
      <c r="I67" s="330" t="s">
        <v>69</v>
      </c>
      <c r="J67" s="330"/>
      <c r="K67" s="330"/>
      <c r="L67" s="330" t="s">
        <v>70</v>
      </c>
      <c r="M67" s="330"/>
      <c r="N67" s="330"/>
    </row>
    <row r="68" spans="1:14" ht="38.25" x14ac:dyDescent="0.25">
      <c r="A68" s="4"/>
      <c r="B68" s="333"/>
      <c r="C68" s="335"/>
      <c r="D68" s="335"/>
      <c r="E68" s="337"/>
      <c r="F68" s="21" t="s">
        <v>71</v>
      </c>
      <c r="G68" s="21" t="s">
        <v>72</v>
      </c>
      <c r="H68" s="21" t="s">
        <v>73</v>
      </c>
      <c r="I68" s="21" t="s">
        <v>74</v>
      </c>
      <c r="J68" s="21" t="s">
        <v>72</v>
      </c>
      <c r="K68" s="21" t="s">
        <v>73</v>
      </c>
      <c r="L68" s="227" t="s">
        <v>74</v>
      </c>
      <c r="M68" s="227" t="s">
        <v>72</v>
      </c>
      <c r="N68" s="227" t="s">
        <v>73</v>
      </c>
    </row>
    <row r="69" spans="1:14" x14ac:dyDescent="0.25">
      <c r="A69" s="4"/>
      <c r="B69" s="21" t="s">
        <v>165</v>
      </c>
      <c r="C69" s="53">
        <v>36</v>
      </c>
      <c r="D69" s="54">
        <v>61.3</v>
      </c>
      <c r="E69" s="54">
        <v>51</v>
      </c>
      <c r="F69" s="54">
        <v>60.2</v>
      </c>
      <c r="G69" s="54">
        <v>78</v>
      </c>
      <c r="H69" s="53">
        <v>36</v>
      </c>
      <c r="I69" s="53">
        <v>22.55</v>
      </c>
      <c r="J69" s="53">
        <v>62.05</v>
      </c>
      <c r="K69" s="53">
        <v>22.45</v>
      </c>
      <c r="L69" s="53">
        <v>6.25</v>
      </c>
      <c r="M69" s="53">
        <v>24.95</v>
      </c>
      <c r="N69" s="53">
        <v>6.25</v>
      </c>
    </row>
    <row r="70" spans="1:14" ht="25.5" x14ac:dyDescent="0.25">
      <c r="A70" s="4"/>
      <c r="B70" s="21" t="s">
        <v>166</v>
      </c>
      <c r="C70" s="53">
        <v>10498.25</v>
      </c>
      <c r="D70" s="53">
        <v>10242.65</v>
      </c>
      <c r="E70" s="53">
        <v>10715.5</v>
      </c>
      <c r="F70" s="54">
        <v>10113.700000000001</v>
      </c>
      <c r="G70" s="54">
        <v>9075.15</v>
      </c>
      <c r="H70" s="141">
        <v>11075.95</v>
      </c>
      <c r="I70" s="53">
        <v>11623.9</v>
      </c>
      <c r="J70" s="53">
        <v>11760.2</v>
      </c>
      <c r="K70" s="53">
        <v>10004.549999999999</v>
      </c>
      <c r="L70" s="53">
        <v>8597.75</v>
      </c>
      <c r="M70" s="53">
        <v>12430.5</v>
      </c>
      <c r="N70" s="53">
        <v>7511.1</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59" t="s">
        <v>84</v>
      </c>
      <c r="C79" s="22" t="s">
        <v>85</v>
      </c>
      <c r="D79" s="22" t="s">
        <v>86</v>
      </c>
      <c r="E79" s="22" t="s">
        <v>280</v>
      </c>
      <c r="F79" s="22" t="s">
        <v>88</v>
      </c>
      <c r="G79" s="22" t="s">
        <v>169</v>
      </c>
      <c r="H79" s="17"/>
      <c r="I79" s="17"/>
      <c r="J79" s="17"/>
      <c r="K79" s="17"/>
      <c r="L79" s="17"/>
      <c r="M79" s="17"/>
      <c r="N79" s="17"/>
    </row>
    <row r="80" spans="1:14" x14ac:dyDescent="0.2">
      <c r="A80" s="4"/>
      <c r="B80" s="316" t="s">
        <v>90</v>
      </c>
      <c r="C80" s="5" t="s">
        <v>629</v>
      </c>
      <c r="D80" s="91">
        <v>2.1800000000000002</v>
      </c>
      <c r="E80" s="61">
        <v>0.93</v>
      </c>
      <c r="F80" s="232">
        <v>2.5499999999999998</v>
      </c>
      <c r="G80" s="61"/>
      <c r="H80" s="62"/>
      <c r="I80" s="62"/>
      <c r="J80" s="62"/>
      <c r="K80" s="62"/>
      <c r="L80" s="62"/>
      <c r="M80" s="62"/>
      <c r="N80" s="62"/>
    </row>
    <row r="81" spans="1:14" x14ac:dyDescent="0.25">
      <c r="A81" s="4"/>
      <c r="B81" s="316"/>
      <c r="C81" s="5" t="s">
        <v>92</v>
      </c>
      <c r="D81" s="229"/>
      <c r="E81" s="61"/>
      <c r="F81" s="232"/>
      <c r="G81" s="61"/>
      <c r="H81" s="62"/>
      <c r="I81" s="62"/>
      <c r="J81" s="62"/>
      <c r="K81" s="62"/>
      <c r="L81" s="62"/>
      <c r="M81" s="62"/>
      <c r="N81" s="62"/>
    </row>
    <row r="82" spans="1:14" x14ac:dyDescent="0.25">
      <c r="A82" s="4"/>
      <c r="B82" s="316"/>
      <c r="C82" s="25" t="s">
        <v>630</v>
      </c>
      <c r="D82" s="229">
        <v>0.1</v>
      </c>
      <c r="E82" s="61">
        <v>0.98</v>
      </c>
      <c r="F82" s="232">
        <v>1.52</v>
      </c>
      <c r="G82" s="61" t="s">
        <v>871</v>
      </c>
      <c r="H82" s="62"/>
      <c r="I82" s="62"/>
      <c r="J82" s="62"/>
      <c r="K82" s="62"/>
      <c r="L82" s="62"/>
      <c r="M82" s="62"/>
      <c r="N82" s="62"/>
    </row>
    <row r="83" spans="1:14" x14ac:dyDescent="0.25">
      <c r="A83" s="4"/>
      <c r="B83" s="316"/>
      <c r="C83" s="25" t="s">
        <v>631</v>
      </c>
      <c r="D83" s="229">
        <v>11.61</v>
      </c>
      <c r="E83" s="61">
        <v>5.3</v>
      </c>
      <c r="F83" s="232">
        <v>3.69</v>
      </c>
      <c r="G83" s="61" t="s">
        <v>871</v>
      </c>
      <c r="H83" s="62"/>
      <c r="I83" s="62"/>
      <c r="J83" s="62"/>
      <c r="K83" s="62"/>
      <c r="L83" s="62"/>
      <c r="M83" s="62"/>
      <c r="N83" s="62"/>
    </row>
    <row r="84" spans="1:14" x14ac:dyDescent="0.25">
      <c r="A84" s="4"/>
      <c r="B84" s="316"/>
      <c r="C84" s="5" t="s">
        <v>93</v>
      </c>
      <c r="D84" s="186">
        <f>SUM(D82:D83)</f>
        <v>11.709999999999999</v>
      </c>
      <c r="E84" s="186">
        <f>SUM(E82:E83)</f>
        <v>6.2799999999999994</v>
      </c>
      <c r="F84" s="186">
        <f>SUM(F82:F83)</f>
        <v>5.21</v>
      </c>
      <c r="G84" s="61"/>
      <c r="H84" s="62"/>
      <c r="I84" s="62"/>
      <c r="J84" s="62"/>
      <c r="K84" s="62"/>
      <c r="L84" s="62"/>
      <c r="M84" s="62"/>
      <c r="N84" s="62"/>
    </row>
    <row r="85" spans="1:14" x14ac:dyDescent="0.2">
      <c r="A85" s="4"/>
      <c r="B85" s="316" t="s">
        <v>94</v>
      </c>
      <c r="C85" s="5" t="s">
        <v>629</v>
      </c>
      <c r="D85" s="93">
        <v>13.76</v>
      </c>
      <c r="E85" s="64">
        <f>60.2/E80</f>
        <v>64.731182795698928</v>
      </c>
      <c r="F85" s="235">
        <f>I69/F80</f>
        <v>8.8431372549019613</v>
      </c>
      <c r="G85" s="61"/>
      <c r="H85" s="62"/>
      <c r="I85" s="62"/>
      <c r="J85" s="62"/>
      <c r="K85" s="62"/>
      <c r="L85" s="62"/>
      <c r="M85" s="62"/>
      <c r="N85" s="62"/>
    </row>
    <row r="86" spans="1:14" x14ac:dyDescent="0.25">
      <c r="A86" s="4"/>
      <c r="B86" s="316"/>
      <c r="C86" s="5" t="s">
        <v>92</v>
      </c>
      <c r="D86" s="229"/>
      <c r="E86" s="61"/>
      <c r="F86" s="232"/>
      <c r="G86" s="61"/>
      <c r="H86" s="62"/>
      <c r="I86" s="62"/>
      <c r="J86" s="62"/>
      <c r="K86" s="62"/>
      <c r="L86" s="62"/>
      <c r="M86" s="62"/>
      <c r="N86" s="62"/>
    </row>
    <row r="87" spans="1:14" x14ac:dyDescent="0.25">
      <c r="A87" s="4"/>
      <c r="B87" s="316"/>
      <c r="C87" s="25" t="s">
        <v>630</v>
      </c>
      <c r="D87" s="229">
        <v>1427.5</v>
      </c>
      <c r="E87" s="64">
        <f>115.75/E82</f>
        <v>118.11224489795919</v>
      </c>
      <c r="F87" s="235">
        <f>96.55/F82</f>
        <v>63.51973684210526</v>
      </c>
      <c r="G87" s="61" t="s">
        <v>871</v>
      </c>
      <c r="H87" s="62"/>
      <c r="I87" s="62"/>
      <c r="J87" s="62"/>
      <c r="K87" s="62"/>
      <c r="L87" s="62"/>
      <c r="M87" s="62"/>
      <c r="N87" s="62"/>
    </row>
    <row r="88" spans="1:14" x14ac:dyDescent="0.25">
      <c r="A88" s="4"/>
      <c r="B88" s="316"/>
      <c r="C88" s="25" t="s">
        <v>631</v>
      </c>
      <c r="D88" s="229">
        <v>29.92</v>
      </c>
      <c r="E88" s="64">
        <f>412.95/E83</f>
        <v>77.915094339622641</v>
      </c>
      <c r="F88" s="235">
        <f>193.65/F83</f>
        <v>52.479674796747972</v>
      </c>
      <c r="G88" s="61" t="s">
        <v>871</v>
      </c>
      <c r="H88" s="62"/>
      <c r="I88" s="62"/>
      <c r="J88" s="62"/>
      <c r="K88" s="62"/>
      <c r="L88" s="62"/>
      <c r="M88" s="62"/>
      <c r="N88" s="62"/>
    </row>
    <row r="89" spans="1:14" x14ac:dyDescent="0.25">
      <c r="A89" s="4"/>
      <c r="B89" s="316"/>
      <c r="C89" s="5" t="s">
        <v>93</v>
      </c>
      <c r="D89" s="186">
        <f>SUM(D87:D88)</f>
        <v>1457.42</v>
      </c>
      <c r="E89" s="186">
        <f>SUM(E87:E88)</f>
        <v>196.02733923758183</v>
      </c>
      <c r="F89" s="186">
        <f>SUM(F87:F88)</f>
        <v>115.99941163885323</v>
      </c>
      <c r="G89" s="61"/>
      <c r="H89" s="62"/>
      <c r="I89" s="62"/>
      <c r="J89" s="62"/>
      <c r="K89" s="62"/>
      <c r="L89" s="62"/>
      <c r="M89" s="62"/>
      <c r="N89" s="62"/>
    </row>
    <row r="90" spans="1:14" x14ac:dyDescent="0.2">
      <c r="A90" s="4"/>
      <c r="B90" s="316" t="s">
        <v>95</v>
      </c>
      <c r="C90" s="5" t="s">
        <v>629</v>
      </c>
      <c r="D90" s="91">
        <v>44.64</v>
      </c>
      <c r="E90" s="198">
        <f>56.01/907.89*100</f>
        <v>6.1692495786934538</v>
      </c>
      <c r="F90" s="235">
        <f>153.08/1061.41*100</f>
        <v>14.422325020491611</v>
      </c>
      <c r="G90" s="61"/>
      <c r="H90" s="62"/>
      <c r="I90" s="62"/>
      <c r="J90" s="62"/>
      <c r="K90" s="62"/>
      <c r="L90" s="62"/>
      <c r="M90" s="62"/>
      <c r="N90" s="62"/>
    </row>
    <row r="91" spans="1:14" x14ac:dyDescent="0.25">
      <c r="A91" s="4"/>
      <c r="B91" s="316"/>
      <c r="C91" s="5" t="s">
        <v>92</v>
      </c>
      <c r="D91" s="229"/>
      <c r="E91" s="61"/>
      <c r="F91" s="232"/>
      <c r="G91" s="61"/>
      <c r="H91" s="62"/>
      <c r="I91" s="62"/>
      <c r="J91" s="62"/>
      <c r="K91" s="62"/>
      <c r="L91" s="62"/>
      <c r="M91" s="62"/>
      <c r="N91" s="62"/>
    </row>
    <row r="92" spans="1:14" x14ac:dyDescent="0.25">
      <c r="A92" s="4"/>
      <c r="B92" s="316"/>
      <c r="C92" s="25" t="s">
        <v>630</v>
      </c>
      <c r="D92" s="229">
        <v>21.79</v>
      </c>
      <c r="E92" s="198">
        <f>982.17/23830.03*100</f>
        <v>4.1215642615640853</v>
      </c>
      <c r="F92" s="235">
        <f>1520.33/24887.98*100</f>
        <v>6.1086918263354439</v>
      </c>
      <c r="G92" s="61" t="s">
        <v>871</v>
      </c>
      <c r="H92" s="62"/>
      <c r="I92" s="62"/>
      <c r="J92" s="62"/>
      <c r="K92" s="62"/>
      <c r="L92" s="62"/>
      <c r="M92" s="62"/>
      <c r="N92" s="62"/>
    </row>
    <row r="93" spans="1:14" x14ac:dyDescent="0.25">
      <c r="A93" s="4"/>
      <c r="B93" s="316"/>
      <c r="C93" s="25" t="s">
        <v>631</v>
      </c>
      <c r="D93" s="229">
        <v>80</v>
      </c>
      <c r="E93" s="198">
        <f>784.11/12076.64*100</f>
        <v>6.4927827607678958</v>
      </c>
      <c r="F93" s="235">
        <f>545.01/12336.86*100</f>
        <v>4.4177367660814824</v>
      </c>
      <c r="G93" s="61" t="s">
        <v>871</v>
      </c>
      <c r="H93" s="62"/>
      <c r="I93" s="62"/>
      <c r="J93" s="62"/>
      <c r="K93" s="62"/>
      <c r="L93" s="62"/>
      <c r="M93" s="62"/>
      <c r="N93" s="62"/>
    </row>
    <row r="94" spans="1:14" x14ac:dyDescent="0.25">
      <c r="A94" s="4"/>
      <c r="B94" s="316"/>
      <c r="C94" s="5" t="s">
        <v>93</v>
      </c>
      <c r="D94" s="186">
        <f>SUM(D92:D93)</f>
        <v>101.78999999999999</v>
      </c>
      <c r="E94" s="186">
        <f>SUM(E92:E93)</f>
        <v>10.61434702233198</v>
      </c>
      <c r="F94" s="186">
        <f>SUM(F92:F93)</f>
        <v>10.526428592416927</v>
      </c>
      <c r="G94" s="61"/>
      <c r="H94" s="62"/>
      <c r="I94" s="62"/>
      <c r="J94" s="62"/>
      <c r="K94" s="66"/>
      <c r="L94" s="62"/>
      <c r="M94" s="62"/>
      <c r="N94" s="62"/>
    </row>
    <row r="95" spans="1:14" x14ac:dyDescent="0.2">
      <c r="A95" s="4"/>
      <c r="B95" s="316" t="s">
        <v>96</v>
      </c>
      <c r="C95" s="5" t="s">
        <v>629</v>
      </c>
      <c r="D95" s="91">
        <v>4.8899999999999997</v>
      </c>
      <c r="E95" s="64">
        <f>907.89/599.26</f>
        <v>1.5150185228448421</v>
      </c>
      <c r="F95" s="235">
        <f>1061.41*100000/5992600</f>
        <v>17.712011480826355</v>
      </c>
      <c r="G95" s="61"/>
      <c r="H95" s="62"/>
      <c r="I95" s="62"/>
      <c r="J95" s="62"/>
      <c r="K95" s="62"/>
      <c r="L95" s="62"/>
      <c r="M95" s="62"/>
      <c r="N95" s="62"/>
    </row>
    <row r="96" spans="1:14" x14ac:dyDescent="0.25">
      <c r="A96" s="4"/>
      <c r="B96" s="316"/>
      <c r="C96" s="5" t="s">
        <v>92</v>
      </c>
      <c r="D96" s="229"/>
      <c r="E96" s="61"/>
      <c r="F96" s="232"/>
      <c r="G96" s="61"/>
      <c r="H96" s="62"/>
      <c r="I96" s="62"/>
      <c r="J96" s="62"/>
      <c r="K96" s="62"/>
      <c r="L96" s="62"/>
      <c r="M96" s="62"/>
      <c r="N96" s="62"/>
    </row>
    <row r="97" spans="1:14" x14ac:dyDescent="0.25">
      <c r="A97" s="4"/>
      <c r="B97" s="386"/>
      <c r="C97" s="25" t="s">
        <v>630</v>
      </c>
      <c r="D97" s="229">
        <v>21.79</v>
      </c>
      <c r="E97" s="64">
        <f>23830.03/1003.04</f>
        <v>23.757806268942414</v>
      </c>
      <c r="F97" s="235">
        <f>24887.98*100000/10030400</f>
        <v>248.12549848460679</v>
      </c>
      <c r="G97" s="61" t="s">
        <v>871</v>
      </c>
      <c r="H97" s="62" t="s">
        <v>750</v>
      </c>
      <c r="I97" s="62"/>
      <c r="J97" s="62"/>
      <c r="K97" s="62"/>
      <c r="L97" s="62"/>
      <c r="M97" s="62"/>
      <c r="N97" s="62"/>
    </row>
    <row r="98" spans="1:14" x14ac:dyDescent="0.25">
      <c r="A98" s="4"/>
      <c r="B98" s="386"/>
      <c r="C98" s="25" t="s">
        <v>631</v>
      </c>
      <c r="D98" s="229">
        <v>80</v>
      </c>
      <c r="E98" s="64">
        <f>12076.64/147.86</f>
        <v>81.676180170431479</v>
      </c>
      <c r="F98" s="235">
        <f>12336.86*100000/14786000</f>
        <v>83.436088191532534</v>
      </c>
      <c r="G98" s="61" t="s">
        <v>871</v>
      </c>
      <c r="H98" s="62"/>
      <c r="I98" s="62"/>
      <c r="J98" s="62"/>
      <c r="K98" s="62"/>
      <c r="L98" s="62"/>
      <c r="M98" s="62"/>
      <c r="N98" s="62"/>
    </row>
    <row r="99" spans="1:14" x14ac:dyDescent="0.25">
      <c r="A99" s="4"/>
      <c r="B99" s="386"/>
      <c r="C99" s="5" t="s">
        <v>93</v>
      </c>
      <c r="D99" s="186">
        <f>SUM(D97:D98)</f>
        <v>101.78999999999999</v>
      </c>
      <c r="E99" s="186">
        <f>SUM(E97:E98)</f>
        <v>105.4339864393739</v>
      </c>
      <c r="F99" s="186">
        <f>SUM(F97:F98)</f>
        <v>331.56158667613931</v>
      </c>
      <c r="G99" s="61"/>
      <c r="H99" s="62"/>
      <c r="I99" s="62"/>
      <c r="J99" s="62"/>
      <c r="K99" s="62"/>
      <c r="L99" s="62"/>
      <c r="M99" s="62"/>
      <c r="N99" s="62"/>
    </row>
    <row r="100" spans="1:14" s="57" customFormat="1" x14ac:dyDescent="0.25">
      <c r="B100" s="387"/>
      <c r="C100" s="388"/>
      <c r="D100" s="388"/>
      <c r="E100" s="388"/>
      <c r="F100" s="388"/>
      <c r="G100" s="389"/>
    </row>
    <row r="101" spans="1:14" x14ac:dyDescent="0.25">
      <c r="A101" s="4"/>
      <c r="B101" s="376" t="s">
        <v>632</v>
      </c>
      <c r="C101" s="377"/>
      <c r="D101" s="377"/>
      <c r="E101" s="377"/>
      <c r="F101" s="377"/>
      <c r="G101" s="378"/>
      <c r="H101" s="62"/>
      <c r="I101" s="62"/>
      <c r="J101" s="62"/>
      <c r="K101" s="62"/>
      <c r="L101" s="62"/>
      <c r="M101" s="62"/>
      <c r="N101" s="62"/>
    </row>
    <row r="102" spans="1:14" x14ac:dyDescent="0.25">
      <c r="A102" s="4"/>
      <c r="B102" s="379" t="s">
        <v>128</v>
      </c>
      <c r="C102" s="380"/>
      <c r="D102" s="380"/>
      <c r="E102" s="380"/>
      <c r="F102" s="380"/>
      <c r="G102" s="381"/>
      <c r="H102" s="62"/>
      <c r="I102" s="62"/>
      <c r="J102" s="62"/>
      <c r="K102" s="62"/>
      <c r="L102" s="62"/>
      <c r="M102" s="62"/>
      <c r="N102" s="62"/>
    </row>
    <row r="103" spans="1:14" x14ac:dyDescent="0.25">
      <c r="A103" s="4"/>
      <c r="B103" s="353"/>
      <c r="C103" s="354"/>
      <c r="D103" s="354"/>
      <c r="E103" s="354"/>
      <c r="F103" s="354"/>
      <c r="G103" s="355"/>
      <c r="H103" s="62"/>
      <c r="I103" s="62"/>
      <c r="J103" s="62"/>
      <c r="K103" s="62"/>
      <c r="L103" s="62"/>
      <c r="M103" s="62"/>
      <c r="N103" s="62"/>
    </row>
    <row r="104" spans="1:14" x14ac:dyDescent="0.25">
      <c r="A104" s="26"/>
      <c r="B104" s="12"/>
      <c r="C104" s="323"/>
      <c r="D104" s="323"/>
      <c r="E104" s="323"/>
      <c r="F104" s="323"/>
      <c r="G104" s="323"/>
      <c r="H104" s="62"/>
      <c r="I104" s="62"/>
      <c r="J104" s="26"/>
      <c r="K104" s="26"/>
      <c r="L104" s="26"/>
      <c r="M104" s="26"/>
      <c r="N104" s="26"/>
    </row>
    <row r="105" spans="1:14" x14ac:dyDescent="0.25">
      <c r="A105" s="13">
        <v>14</v>
      </c>
      <c r="B105" s="70" t="s">
        <v>99</v>
      </c>
      <c r="C105" s="324" t="s">
        <v>48</v>
      </c>
      <c r="D105" s="325"/>
      <c r="E105" s="325"/>
      <c r="F105" s="325"/>
      <c r="G105" s="326"/>
      <c r="H105" s="26"/>
      <c r="I105" s="26"/>
      <c r="J105" s="26"/>
      <c r="K105" s="26"/>
      <c r="L105" s="26"/>
      <c r="M105" s="26"/>
      <c r="N105" s="26"/>
    </row>
    <row r="106" spans="1:14" x14ac:dyDescent="0.25">
      <c r="A106" s="71"/>
      <c r="B106" s="26"/>
      <c r="C106" s="84"/>
      <c r="D106" s="84"/>
      <c r="E106" s="84"/>
      <c r="F106" s="84"/>
      <c r="G106" s="84"/>
      <c r="H106" s="26"/>
      <c r="I106" s="26"/>
      <c r="J106" s="26"/>
      <c r="K106" s="26"/>
      <c r="L106" s="26"/>
      <c r="M106" s="26"/>
      <c r="N106" s="26"/>
    </row>
    <row r="107" spans="1:14" x14ac:dyDescent="0.25">
      <c r="A107" s="26"/>
      <c r="B107" s="374" t="s">
        <v>633</v>
      </c>
      <c r="C107" s="375"/>
      <c r="D107" s="375"/>
      <c r="E107" s="375"/>
      <c r="F107" s="375"/>
      <c r="G107" s="375"/>
      <c r="H107" s="375"/>
      <c r="I107" s="26"/>
      <c r="J107" s="26"/>
      <c r="K107" s="26"/>
      <c r="L107" s="26"/>
      <c r="M107" s="26"/>
      <c r="N107" s="26"/>
    </row>
    <row r="108" spans="1:14" x14ac:dyDescent="0.25">
      <c r="A108" s="26"/>
      <c r="I108" s="26"/>
      <c r="J108" s="26"/>
      <c r="K108" s="26"/>
      <c r="L108" s="26"/>
      <c r="M108" s="26"/>
      <c r="N108" s="26"/>
    </row>
    <row r="109" spans="1:14" x14ac:dyDescent="0.25">
      <c r="A109" s="26"/>
      <c r="J109" s="26"/>
      <c r="K109" s="26"/>
      <c r="L109" s="26"/>
      <c r="M109" s="26"/>
      <c r="N109"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4"/>
    <mergeCell ref="B85:B89"/>
    <mergeCell ref="B107:H107"/>
    <mergeCell ref="B100:G100"/>
    <mergeCell ref="B101:G101"/>
    <mergeCell ref="B102:G102"/>
    <mergeCell ref="B103:G103"/>
    <mergeCell ref="C104:G104"/>
    <mergeCell ref="C105:G105"/>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opLeftCell="A40" workbookViewId="0">
      <selection activeCell="E40" sqref="E40"/>
    </sheetView>
  </sheetViews>
  <sheetFormatPr defaultColWidth="8.85546875" defaultRowHeight="12.75" x14ac:dyDescent="0.25"/>
  <cols>
    <col min="1" max="1" width="8.85546875" style="73"/>
    <col min="2" max="2" width="40.85546875" style="73" customWidth="1"/>
    <col min="3" max="3" width="43.42578125" style="73" customWidth="1"/>
    <col min="4" max="4" width="30.85546875" style="73" customWidth="1"/>
    <col min="5" max="5" width="22.28515625" style="116"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71"/>
      <c r="F1" s="26"/>
      <c r="G1" s="26"/>
      <c r="H1" s="26"/>
      <c r="I1" s="26"/>
      <c r="J1" s="26"/>
      <c r="K1" s="26"/>
      <c r="L1" s="26"/>
      <c r="M1" s="26"/>
      <c r="N1" s="26"/>
    </row>
    <row r="2" spans="1:25" x14ac:dyDescent="0.25">
      <c r="A2" s="26"/>
      <c r="B2" s="26"/>
      <c r="C2" s="26"/>
      <c r="D2" s="26"/>
      <c r="E2" s="71"/>
      <c r="F2" s="26"/>
      <c r="G2" s="26"/>
      <c r="H2" s="26"/>
      <c r="I2" s="26"/>
      <c r="J2" s="26"/>
      <c r="K2" s="26"/>
      <c r="L2" s="26"/>
      <c r="M2" s="26"/>
      <c r="N2" s="26"/>
    </row>
    <row r="3" spans="1:25" ht="19.149999999999999" customHeight="1" x14ac:dyDescent="0.25">
      <c r="A3" s="4" t="s">
        <v>1</v>
      </c>
      <c r="B3" s="5" t="s">
        <v>2</v>
      </c>
      <c r="C3" s="6" t="s">
        <v>634</v>
      </c>
      <c r="D3" s="26"/>
      <c r="E3" s="71"/>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71"/>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28"/>
      <c r="F6" s="12"/>
      <c r="G6" s="12"/>
      <c r="H6" s="12"/>
      <c r="I6" s="12"/>
      <c r="J6" s="12"/>
      <c r="K6" s="12"/>
      <c r="L6" s="12"/>
      <c r="M6" s="12"/>
      <c r="N6" s="12"/>
    </row>
    <row r="7" spans="1:25" x14ac:dyDescent="0.25">
      <c r="A7" s="13"/>
      <c r="B7" s="15"/>
      <c r="C7" s="12"/>
      <c r="D7" s="9"/>
      <c r="E7" s="28"/>
      <c r="F7" s="12"/>
      <c r="G7" s="12"/>
      <c r="H7" s="12"/>
      <c r="I7" s="12"/>
      <c r="J7" s="12"/>
      <c r="K7" s="12"/>
      <c r="L7" s="12"/>
      <c r="M7" s="12"/>
      <c r="N7" s="12"/>
    </row>
    <row r="8" spans="1:25" ht="21" customHeight="1" x14ac:dyDescent="0.25">
      <c r="A8" s="13">
        <v>2</v>
      </c>
      <c r="B8" s="11" t="s">
        <v>7</v>
      </c>
      <c r="C8" s="16" t="s">
        <v>635</v>
      </c>
      <c r="D8" s="9"/>
      <c r="E8" s="28"/>
      <c r="F8" s="12"/>
      <c r="G8" s="12"/>
      <c r="H8" s="12"/>
      <c r="I8" s="12"/>
      <c r="J8" s="12"/>
      <c r="K8" s="12"/>
      <c r="L8" s="12"/>
      <c r="M8" s="12"/>
      <c r="N8" s="12"/>
    </row>
    <row r="9" spans="1:25" ht="16.149999999999999" customHeight="1" x14ac:dyDescent="0.25">
      <c r="A9" s="13"/>
      <c r="B9" s="400" t="s">
        <v>6</v>
      </c>
      <c r="C9" s="401"/>
      <c r="D9" s="402"/>
      <c r="E9" s="28"/>
      <c r="F9" s="12"/>
      <c r="G9" s="12"/>
      <c r="H9" s="12"/>
      <c r="I9" s="12"/>
      <c r="J9" s="12"/>
      <c r="K9" s="12"/>
      <c r="L9" s="12"/>
      <c r="M9" s="12"/>
      <c r="N9" s="12"/>
    </row>
    <row r="10" spans="1:25" x14ac:dyDescent="0.25">
      <c r="A10" s="13"/>
      <c r="B10" s="15"/>
      <c r="C10" s="12"/>
      <c r="D10" s="9"/>
      <c r="E10" s="28"/>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28"/>
      <c r="F12" s="26"/>
      <c r="G12" s="26"/>
      <c r="H12" s="26"/>
      <c r="I12" s="26"/>
      <c r="J12" s="26"/>
      <c r="K12" s="26"/>
      <c r="L12" s="26"/>
      <c r="M12" s="26"/>
      <c r="N12" s="26"/>
    </row>
    <row r="13" spans="1:25" x14ac:dyDescent="0.25">
      <c r="A13" s="13"/>
      <c r="B13" s="15"/>
      <c r="C13" s="12"/>
      <c r="D13" s="9"/>
      <c r="E13" s="234"/>
      <c r="F13" s="26"/>
      <c r="G13" s="26"/>
      <c r="H13" s="26"/>
      <c r="I13" s="26"/>
      <c r="J13" s="26"/>
      <c r="K13" s="26"/>
      <c r="L13" s="26"/>
      <c r="M13" s="26"/>
      <c r="N13" s="26"/>
    </row>
    <row r="14" spans="1:25" ht="30.6" customHeight="1" x14ac:dyDescent="0.25">
      <c r="A14" s="13">
        <v>4</v>
      </c>
      <c r="B14" s="5" t="s">
        <v>11</v>
      </c>
      <c r="C14" s="231" t="s">
        <v>636</v>
      </c>
      <c r="D14" s="9"/>
      <c r="E14" s="234"/>
      <c r="F14" s="26"/>
      <c r="G14" s="26"/>
      <c r="H14" s="26"/>
      <c r="I14" s="26"/>
      <c r="J14" s="26"/>
      <c r="K14" s="26"/>
      <c r="L14" s="26"/>
      <c r="M14" s="26"/>
      <c r="N14" s="26"/>
    </row>
    <row r="15" spans="1:25" ht="14.45" customHeight="1" x14ac:dyDescent="0.25">
      <c r="A15" s="13"/>
      <c r="B15" s="353" t="s">
        <v>13</v>
      </c>
      <c r="C15" s="385"/>
      <c r="D15" s="9"/>
      <c r="E15" s="234"/>
      <c r="F15" s="12"/>
      <c r="G15" s="26"/>
      <c r="H15" s="26"/>
      <c r="I15" s="26"/>
      <c r="J15" s="26"/>
      <c r="K15" s="26"/>
      <c r="L15" s="26"/>
      <c r="M15" s="26"/>
      <c r="N15" s="26"/>
    </row>
    <row r="16" spans="1:25" x14ac:dyDescent="0.25">
      <c r="A16" s="13"/>
      <c r="B16" s="26"/>
      <c r="C16" s="12"/>
      <c r="D16" s="9"/>
      <c r="E16" s="234"/>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228" t="s">
        <v>15</v>
      </c>
      <c r="C18" s="373" t="s">
        <v>16</v>
      </c>
      <c r="D18" s="373"/>
      <c r="E18" s="373"/>
      <c r="F18" s="19"/>
      <c r="G18" s="17"/>
      <c r="H18" s="17"/>
      <c r="I18" s="17"/>
      <c r="J18" s="17"/>
      <c r="K18" s="17"/>
      <c r="L18" s="17"/>
      <c r="M18" s="17"/>
      <c r="N18" s="17"/>
    </row>
    <row r="19" spans="1:14" ht="25.5" x14ac:dyDescent="0.25">
      <c r="A19" s="13"/>
      <c r="B19" s="228" t="s">
        <v>624</v>
      </c>
      <c r="C19" s="363" t="s">
        <v>16</v>
      </c>
      <c r="D19" s="363"/>
      <c r="E19" s="363"/>
      <c r="F19" s="19"/>
      <c r="G19" s="17"/>
      <c r="H19" s="26"/>
      <c r="I19" s="17"/>
      <c r="J19" s="17"/>
      <c r="K19" s="17"/>
      <c r="L19" s="17"/>
      <c r="M19" s="17"/>
      <c r="N19" s="17"/>
    </row>
    <row r="20" spans="1:14" x14ac:dyDescent="0.25">
      <c r="A20" s="13"/>
      <c r="B20" s="228" t="s">
        <v>18</v>
      </c>
      <c r="C20" s="363" t="s">
        <v>16</v>
      </c>
      <c r="D20" s="363"/>
      <c r="E20" s="36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426" t="s">
        <v>16</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B24" s="26"/>
      <c r="C24" s="17"/>
      <c r="D24" s="17"/>
      <c r="E24" s="9"/>
      <c r="F24" s="19"/>
      <c r="G24" s="17"/>
      <c r="H24" s="17"/>
      <c r="I24" s="17"/>
      <c r="J24" s="17"/>
      <c r="K24" s="17"/>
      <c r="L24" s="17"/>
      <c r="M24" s="17"/>
      <c r="N24" s="17"/>
    </row>
    <row r="25" spans="1:14" x14ac:dyDescent="0.25">
      <c r="A25" s="13"/>
      <c r="B25" s="19"/>
      <c r="C25" s="19"/>
      <c r="D25" s="19"/>
      <c r="E25" s="13"/>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806</v>
      </c>
      <c r="E28" s="226" t="s">
        <v>355</v>
      </c>
      <c r="F28" s="19"/>
      <c r="G28" s="26"/>
      <c r="H28" s="26"/>
      <c r="I28" s="26"/>
      <c r="J28" s="26"/>
      <c r="K28" s="26"/>
      <c r="L28" s="26"/>
      <c r="M28" s="26"/>
      <c r="N28" s="26"/>
    </row>
    <row r="29" spans="1:14" x14ac:dyDescent="0.25">
      <c r="A29" s="13"/>
      <c r="B29" s="230" t="s">
        <v>28</v>
      </c>
      <c r="C29" s="232">
        <v>3507.74</v>
      </c>
      <c r="D29" s="232">
        <v>4452.42</v>
      </c>
      <c r="E29" s="61">
        <v>4445.8999999999996</v>
      </c>
      <c r="F29" s="19"/>
      <c r="G29" s="26"/>
      <c r="H29" s="26"/>
      <c r="I29" s="26"/>
      <c r="J29" s="26"/>
      <c r="K29" s="26"/>
      <c r="L29" s="26"/>
      <c r="M29" s="26"/>
      <c r="N29" s="26"/>
    </row>
    <row r="30" spans="1:14" x14ac:dyDescent="0.25">
      <c r="A30" s="13"/>
      <c r="B30" s="230" t="s">
        <v>29</v>
      </c>
      <c r="C30" s="232">
        <v>467</v>
      </c>
      <c r="D30" s="232">
        <v>278.87</v>
      </c>
      <c r="E30" s="61">
        <v>306.41000000000003</v>
      </c>
      <c r="F30" s="19"/>
      <c r="G30" s="26"/>
      <c r="H30" s="26"/>
      <c r="I30" s="26"/>
      <c r="J30" s="26"/>
      <c r="K30" s="26"/>
      <c r="L30" s="26"/>
      <c r="M30" s="26"/>
      <c r="N30" s="26"/>
    </row>
    <row r="31" spans="1:14" x14ac:dyDescent="0.25">
      <c r="A31" s="13"/>
      <c r="B31" s="230" t="s">
        <v>30</v>
      </c>
      <c r="C31" s="232">
        <v>1023.81</v>
      </c>
      <c r="D31" s="232">
        <v>1023.81</v>
      </c>
      <c r="E31" s="232">
        <v>1023.81</v>
      </c>
      <c r="F31" s="19" t="s">
        <v>750</v>
      </c>
      <c r="G31" s="26"/>
      <c r="H31" s="26"/>
      <c r="I31" s="26"/>
      <c r="J31" s="26"/>
      <c r="K31" s="26"/>
      <c r="L31" s="26"/>
      <c r="M31" s="26"/>
      <c r="N31" s="26"/>
    </row>
    <row r="32" spans="1:14" x14ac:dyDescent="0.25">
      <c r="A32" s="13"/>
      <c r="B32" s="230" t="s">
        <v>31</v>
      </c>
      <c r="C32" s="232">
        <v>1547.46</v>
      </c>
      <c r="D32" s="232">
        <v>1828.66</v>
      </c>
      <c r="E32" s="232">
        <v>2060.39</v>
      </c>
      <c r="F32" s="19"/>
      <c r="G32" s="26"/>
      <c r="H32" s="26"/>
      <c r="I32" s="26"/>
      <c r="J32" s="26"/>
      <c r="K32" s="26"/>
      <c r="L32" s="26"/>
      <c r="M32" s="26"/>
      <c r="N32" s="26"/>
    </row>
    <row r="33" spans="1:14" x14ac:dyDescent="0.25">
      <c r="A33" s="13"/>
      <c r="B33" s="353" t="s">
        <v>306</v>
      </c>
      <c r="C33" s="354"/>
      <c r="D33" s="354"/>
      <c r="E33" s="355"/>
      <c r="F33" s="19"/>
      <c r="G33" s="26"/>
      <c r="H33" s="26"/>
      <c r="I33" s="26"/>
      <c r="J33" s="26"/>
      <c r="K33" s="26"/>
      <c r="L33" s="26"/>
      <c r="M33" s="26"/>
      <c r="N33" s="26"/>
    </row>
    <row r="34" spans="1:14" x14ac:dyDescent="0.25">
      <c r="A34" s="13"/>
      <c r="B34" s="17"/>
      <c r="C34" s="19"/>
      <c r="D34" s="19"/>
      <c r="E34" s="13"/>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9"/>
      <c r="F36" s="17"/>
      <c r="G36" s="26"/>
      <c r="H36" s="26"/>
      <c r="I36" s="26"/>
      <c r="J36" s="26"/>
      <c r="K36" s="26"/>
      <c r="L36" s="26"/>
      <c r="M36" s="26"/>
      <c r="N36" s="26"/>
    </row>
    <row r="37" spans="1:14" x14ac:dyDescent="0.25">
      <c r="A37" s="13"/>
      <c r="B37" s="227" t="s">
        <v>36</v>
      </c>
      <c r="C37" s="232" t="s">
        <v>245</v>
      </c>
      <c r="D37" s="17"/>
      <c r="E37" s="9"/>
      <c r="F37" s="17"/>
      <c r="G37" s="26"/>
      <c r="H37" s="26"/>
      <c r="I37" s="26"/>
      <c r="J37" s="26"/>
      <c r="K37" s="26"/>
      <c r="L37" s="26"/>
      <c r="M37" s="26"/>
      <c r="N37" s="26"/>
    </row>
    <row r="38" spans="1:14" x14ac:dyDescent="0.25">
      <c r="A38" s="13"/>
      <c r="B38" s="233" t="s">
        <v>37</v>
      </c>
      <c r="C38" s="232" t="s">
        <v>245</v>
      </c>
      <c r="D38" s="17"/>
      <c r="E38" s="9"/>
      <c r="F38" s="17"/>
      <c r="G38" s="26"/>
      <c r="H38" s="26"/>
      <c r="I38" s="26"/>
      <c r="J38" s="26"/>
      <c r="K38" s="26"/>
      <c r="L38" s="26"/>
      <c r="M38" s="26"/>
      <c r="N38" s="26"/>
    </row>
    <row r="39" spans="1:14" x14ac:dyDescent="0.25">
      <c r="A39" s="13"/>
      <c r="B39" s="382" t="s">
        <v>156</v>
      </c>
      <c r="C39" s="382"/>
      <c r="D39" s="17"/>
      <c r="E39" s="9"/>
      <c r="F39" s="17"/>
      <c r="G39" s="26"/>
      <c r="H39" s="26"/>
      <c r="I39" s="26"/>
      <c r="J39" s="26"/>
      <c r="K39" s="26"/>
      <c r="L39" s="26"/>
      <c r="M39" s="26"/>
      <c r="N39" s="26"/>
    </row>
    <row r="40" spans="1:14" x14ac:dyDescent="0.25">
      <c r="A40" s="13"/>
      <c r="B40" s="12"/>
      <c r="C40" s="17"/>
      <c r="D40" s="17"/>
      <c r="E40" s="9"/>
      <c r="F40" s="17"/>
      <c r="G40" s="26"/>
      <c r="H40" s="26"/>
      <c r="I40" s="26"/>
      <c r="J40" s="26"/>
      <c r="K40" s="26"/>
      <c r="L40" s="26"/>
      <c r="M40" s="26"/>
      <c r="N40" s="26"/>
    </row>
    <row r="41" spans="1:14" x14ac:dyDescent="0.25">
      <c r="A41" s="13"/>
      <c r="B41" s="19"/>
      <c r="C41" s="17"/>
      <c r="D41" s="17"/>
      <c r="E41" s="9"/>
      <c r="F41" s="17"/>
      <c r="G41" s="26"/>
      <c r="H41" s="26"/>
      <c r="I41" s="26"/>
      <c r="J41" s="26"/>
      <c r="K41" s="26"/>
      <c r="L41" s="26"/>
      <c r="M41" s="26"/>
      <c r="N41" s="26"/>
    </row>
    <row r="42" spans="1:14" x14ac:dyDescent="0.25">
      <c r="A42" s="13">
        <v>8</v>
      </c>
      <c r="B42" s="333" t="s">
        <v>38</v>
      </c>
      <c r="C42" s="333"/>
      <c r="D42" s="333"/>
      <c r="E42" s="333"/>
      <c r="F42" s="15" t="s">
        <v>750</v>
      </c>
      <c r="G42" s="15"/>
      <c r="H42" s="15"/>
      <c r="I42" s="15"/>
      <c r="J42" s="15"/>
      <c r="K42" s="26"/>
      <c r="L42" s="26"/>
      <c r="M42" s="26"/>
      <c r="N42" s="26"/>
    </row>
    <row r="43" spans="1:14" x14ac:dyDescent="0.25">
      <c r="A43" s="13"/>
      <c r="B43" s="227" t="s">
        <v>39</v>
      </c>
      <c r="C43" s="350" t="s">
        <v>607</v>
      </c>
      <c r="D43" s="351"/>
      <c r="E43" s="352"/>
      <c r="F43" s="17"/>
      <c r="G43" s="26"/>
      <c r="H43" s="26"/>
      <c r="I43" s="26"/>
      <c r="J43" s="26"/>
      <c r="K43" s="26"/>
      <c r="L43" s="26"/>
      <c r="M43" s="26"/>
      <c r="N43" s="26"/>
    </row>
    <row r="44" spans="1:14" x14ac:dyDescent="0.25">
      <c r="A44" s="13"/>
      <c r="B44" s="227" t="s">
        <v>36</v>
      </c>
      <c r="C44" s="350" t="s">
        <v>607</v>
      </c>
      <c r="D44" s="351"/>
      <c r="E44" s="352"/>
      <c r="F44" s="17"/>
      <c r="G44" s="26"/>
      <c r="H44" s="26"/>
      <c r="I44" s="26"/>
      <c r="J44" s="26"/>
      <c r="K44" s="26"/>
      <c r="L44" s="26"/>
      <c r="M44" s="26"/>
      <c r="N44" s="26"/>
    </row>
    <row r="45" spans="1:14" x14ac:dyDescent="0.25">
      <c r="A45" s="13"/>
      <c r="B45" s="227" t="s">
        <v>37</v>
      </c>
      <c r="C45" s="367" t="s">
        <v>607</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9"/>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c r="N48" s="26"/>
    </row>
    <row r="49" spans="1:14" ht="25.5" x14ac:dyDescent="0.25">
      <c r="A49" s="29"/>
      <c r="B49" s="225" t="s">
        <v>42</v>
      </c>
      <c r="C49" s="32" t="s">
        <v>43</v>
      </c>
      <c r="D49" s="33" t="s">
        <v>44</v>
      </c>
      <c r="E49" s="32" t="s">
        <v>268</v>
      </c>
      <c r="F49" s="26"/>
      <c r="G49" s="26"/>
      <c r="H49" s="26"/>
      <c r="I49" s="26"/>
      <c r="J49" s="26"/>
      <c r="K49" s="26"/>
      <c r="L49" s="26"/>
      <c r="M49" s="26"/>
      <c r="N49" s="26"/>
    </row>
    <row r="50" spans="1:14" ht="69.75" customHeight="1" x14ac:dyDescent="0.25">
      <c r="A50" s="34"/>
      <c r="B50" s="94" t="s">
        <v>369</v>
      </c>
      <c r="C50" s="94" t="s">
        <v>637</v>
      </c>
      <c r="D50" s="133" t="s">
        <v>724</v>
      </c>
      <c r="E50" s="94" t="s">
        <v>125</v>
      </c>
      <c r="F50" s="26"/>
      <c r="G50" s="26"/>
      <c r="H50" s="26"/>
      <c r="I50" s="26"/>
      <c r="J50" s="26"/>
      <c r="K50" s="26"/>
      <c r="L50" s="26"/>
      <c r="M50" s="26"/>
      <c r="N50" s="26"/>
    </row>
    <row r="51" spans="1:14" x14ac:dyDescent="0.25">
      <c r="A51" s="36"/>
      <c r="B51" s="345" t="s">
        <v>726</v>
      </c>
      <c r="C51" s="346"/>
      <c r="D51" s="346"/>
      <c r="E51" s="347"/>
      <c r="F51" s="19"/>
      <c r="G51" s="19"/>
      <c r="H51" s="19"/>
      <c r="I51" s="26"/>
      <c r="J51" s="26"/>
      <c r="K51" s="26"/>
      <c r="L51" s="26"/>
      <c r="M51" s="26"/>
      <c r="N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c r="N53" s="26"/>
    </row>
    <row r="54" spans="1:14" x14ac:dyDescent="0.25">
      <c r="A54" s="34"/>
      <c r="B54" s="357" t="s">
        <v>50</v>
      </c>
      <c r="C54" s="394" t="s">
        <v>725</v>
      </c>
      <c r="D54" s="395"/>
      <c r="E54" s="396"/>
      <c r="F54" s="26"/>
      <c r="G54" s="26"/>
      <c r="H54" s="26"/>
      <c r="I54" s="26"/>
      <c r="J54" s="26"/>
      <c r="K54" s="2"/>
      <c r="L54" s="26"/>
      <c r="M54" s="26"/>
      <c r="N54" s="26"/>
    </row>
    <row r="55" spans="1:14" x14ac:dyDescent="0.25">
      <c r="A55" s="34"/>
      <c r="B55" s="358"/>
      <c r="C55" s="397"/>
      <c r="D55" s="398"/>
      <c r="E55" s="399"/>
      <c r="F55" s="26"/>
      <c r="G55" s="26"/>
      <c r="H55" s="26"/>
      <c r="I55" s="26"/>
      <c r="J55" s="26"/>
      <c r="K55" s="2"/>
      <c r="L55" s="26"/>
      <c r="M55" s="26"/>
      <c r="N55" s="26"/>
    </row>
    <row r="56" spans="1:14" ht="41.25" customHeight="1" x14ac:dyDescent="0.25">
      <c r="A56" s="29"/>
      <c r="B56" s="39" t="s">
        <v>54</v>
      </c>
      <c r="C56" s="344" t="s">
        <v>725</v>
      </c>
      <c r="D56" s="344"/>
      <c r="E56" s="344"/>
      <c r="F56" s="26"/>
      <c r="G56" s="26"/>
      <c r="H56" s="26"/>
      <c r="I56" s="26"/>
      <c r="J56" s="26"/>
      <c r="K56" s="12"/>
      <c r="L56" s="26"/>
      <c r="M56" s="26"/>
      <c r="N56" s="26"/>
    </row>
    <row r="57" spans="1:14" x14ac:dyDescent="0.25">
      <c r="A57" s="34"/>
      <c r="B57" s="39" t="s">
        <v>55</v>
      </c>
      <c r="C57" s="344" t="s">
        <v>56</v>
      </c>
      <c r="D57" s="344"/>
      <c r="E57" s="344"/>
      <c r="F57" s="26"/>
      <c r="G57" s="26"/>
      <c r="H57" s="26"/>
      <c r="I57" s="26"/>
      <c r="J57" s="26"/>
      <c r="K57" s="40"/>
      <c r="L57" s="26"/>
      <c r="M57" s="26"/>
      <c r="N57" s="26"/>
    </row>
    <row r="58" spans="1:14" x14ac:dyDescent="0.25">
      <c r="A58" s="34"/>
      <c r="B58" s="345" t="s">
        <v>726</v>
      </c>
      <c r="C58" s="346"/>
      <c r="D58" s="346"/>
      <c r="E58" s="347"/>
      <c r="F58" s="26"/>
      <c r="G58" s="26"/>
      <c r="H58" s="26"/>
      <c r="I58" s="26"/>
      <c r="J58" s="26"/>
      <c r="K58" s="40"/>
      <c r="L58" s="26"/>
      <c r="M58" s="26"/>
      <c r="N58" s="26"/>
    </row>
    <row r="59" spans="1:14" s="76" customFormat="1" x14ac:dyDescent="0.2">
      <c r="A59" s="41" t="s">
        <v>57</v>
      </c>
      <c r="B59" s="384" t="s">
        <v>58</v>
      </c>
      <c r="C59" s="384"/>
      <c r="D59" s="384"/>
      <c r="E59" s="384"/>
      <c r="F59" s="239"/>
      <c r="G59" s="239"/>
      <c r="H59" s="239"/>
      <c r="I59" s="239"/>
      <c r="J59" s="239"/>
      <c r="K59" s="239"/>
      <c r="L59" s="239"/>
      <c r="M59" s="239"/>
      <c r="N59" s="239"/>
    </row>
    <row r="60" spans="1:14" x14ac:dyDescent="0.25">
      <c r="A60" s="48"/>
      <c r="B60" s="49"/>
      <c r="C60" s="50"/>
      <c r="D60" s="50"/>
      <c r="E60" s="118"/>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3"/>
      <c r="F62" s="19"/>
      <c r="G62" s="19"/>
      <c r="H62" s="52"/>
      <c r="I62" s="52"/>
      <c r="J62" s="19"/>
      <c r="K62" s="26"/>
      <c r="L62" s="26"/>
      <c r="M62" s="26"/>
      <c r="N62" s="26"/>
    </row>
    <row r="63" spans="1:14" x14ac:dyDescent="0.25">
      <c r="A63" s="13">
        <v>12</v>
      </c>
      <c r="B63" s="15" t="s">
        <v>61</v>
      </c>
      <c r="C63" s="15"/>
      <c r="D63" s="15"/>
      <c r="E63" s="126"/>
      <c r="F63" s="51"/>
      <c r="G63" s="15"/>
      <c r="H63" s="15"/>
      <c r="I63" s="15"/>
      <c r="J63" s="15"/>
      <c r="K63" s="15"/>
      <c r="L63" s="15"/>
      <c r="M63" s="15"/>
      <c r="N63" s="15"/>
    </row>
    <row r="64" spans="1:14" x14ac:dyDescent="0.25">
      <c r="A64" s="13"/>
      <c r="B64" s="15"/>
      <c r="C64" s="15"/>
      <c r="D64" s="15"/>
      <c r="E64" s="13"/>
      <c r="F64" s="15"/>
      <c r="G64" s="15"/>
      <c r="H64" s="15"/>
      <c r="I64" s="15"/>
      <c r="J64" s="15"/>
      <c r="K64" s="15"/>
      <c r="L64" s="15"/>
      <c r="M64" s="15"/>
      <c r="N64" s="15"/>
    </row>
    <row r="65" spans="1:17" x14ac:dyDescent="0.25">
      <c r="A65" s="13"/>
      <c r="B65" s="227" t="s">
        <v>62</v>
      </c>
      <c r="C65" s="230" t="s">
        <v>580</v>
      </c>
      <c r="D65" s="19"/>
      <c r="E65" s="126"/>
      <c r="F65" s="52"/>
      <c r="G65" s="52"/>
      <c r="H65" s="19"/>
      <c r="I65" s="19"/>
      <c r="J65" s="19"/>
      <c r="K65" s="19"/>
      <c r="L65" s="19"/>
      <c r="M65" s="19"/>
      <c r="N65" s="19"/>
    </row>
    <row r="66" spans="1:17" x14ac:dyDescent="0.25">
      <c r="A66" s="13"/>
      <c r="B66" s="19"/>
      <c r="C66" s="19"/>
      <c r="D66" s="19"/>
      <c r="E66" s="13"/>
      <c r="F66" s="19"/>
      <c r="G66" s="19"/>
      <c r="H66" s="19"/>
      <c r="I66" s="19"/>
      <c r="J66" s="19"/>
      <c r="K66" s="19"/>
      <c r="L66" s="19"/>
      <c r="M66" s="19"/>
      <c r="N66" s="19"/>
    </row>
    <row r="67" spans="1:17" x14ac:dyDescent="0.25">
      <c r="A67" s="13"/>
      <c r="B67" s="333" t="s">
        <v>64</v>
      </c>
      <c r="C67" s="372" t="s">
        <v>638</v>
      </c>
      <c r="D67" s="372" t="s">
        <v>333</v>
      </c>
      <c r="E67" s="336" t="s">
        <v>294</v>
      </c>
      <c r="F67" s="327" t="s">
        <v>68</v>
      </c>
      <c r="G67" s="328"/>
      <c r="H67" s="329"/>
      <c r="I67" s="330" t="s">
        <v>69</v>
      </c>
      <c r="J67" s="330"/>
      <c r="K67" s="330"/>
      <c r="L67" s="330" t="s">
        <v>70</v>
      </c>
      <c r="M67" s="330"/>
      <c r="N67" s="330"/>
    </row>
    <row r="68" spans="1:17"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7" x14ac:dyDescent="0.25">
      <c r="A69" s="4"/>
      <c r="B69" s="227" t="s">
        <v>165</v>
      </c>
      <c r="C69" s="53">
        <v>29.3</v>
      </c>
      <c r="D69" s="54">
        <v>26.15</v>
      </c>
      <c r="E69" s="119">
        <v>25.5</v>
      </c>
      <c r="F69" s="54">
        <v>26.9</v>
      </c>
      <c r="G69" s="54">
        <v>33.6</v>
      </c>
      <c r="H69" s="53">
        <v>24.25</v>
      </c>
      <c r="I69" s="53">
        <v>22.2</v>
      </c>
      <c r="J69" s="53">
        <v>28.05</v>
      </c>
      <c r="K69" s="53">
        <v>16</v>
      </c>
      <c r="L69" s="53">
        <v>11</v>
      </c>
      <c r="M69" s="53">
        <v>25.5</v>
      </c>
      <c r="N69" s="53">
        <v>8.0500000000000007</v>
      </c>
    </row>
    <row r="70" spans="1:17" ht="25.5" x14ac:dyDescent="0.25">
      <c r="A70" s="4"/>
      <c r="B70" s="227" t="s">
        <v>166</v>
      </c>
      <c r="C70" s="53">
        <v>10226.85</v>
      </c>
      <c r="D70" s="53">
        <v>10379.35</v>
      </c>
      <c r="E70" s="235">
        <v>10768.35</v>
      </c>
      <c r="F70" s="54">
        <v>10113.700000000001</v>
      </c>
      <c r="G70" s="54">
        <v>9075.15</v>
      </c>
      <c r="H70" s="141">
        <v>11075.95</v>
      </c>
      <c r="I70" s="53">
        <v>11623.9</v>
      </c>
      <c r="J70" s="53">
        <v>11760.2</v>
      </c>
      <c r="K70" s="53">
        <v>10004.549999999999</v>
      </c>
      <c r="L70" s="53">
        <v>8597.75</v>
      </c>
      <c r="M70" s="53">
        <v>12430.5</v>
      </c>
      <c r="N70" s="53">
        <v>7511.1</v>
      </c>
    </row>
    <row r="71" spans="1:17" ht="13.5" x14ac:dyDescent="0.25">
      <c r="A71" s="4"/>
      <c r="B71" s="383" t="s">
        <v>156</v>
      </c>
      <c r="C71" s="383"/>
      <c r="D71" s="383"/>
      <c r="E71" s="383"/>
      <c r="F71" s="383"/>
      <c r="G71" s="383"/>
      <c r="H71" s="383"/>
      <c r="I71" s="383"/>
      <c r="J71" s="383"/>
      <c r="K71" s="383"/>
      <c r="L71" s="383"/>
      <c r="M71" s="383"/>
      <c r="N71" s="383"/>
    </row>
    <row r="72" spans="1:17" x14ac:dyDescent="0.25">
      <c r="A72" s="4"/>
      <c r="B72" s="382" t="s">
        <v>79</v>
      </c>
      <c r="C72" s="382"/>
      <c r="D72" s="382"/>
      <c r="E72" s="382"/>
      <c r="F72" s="382"/>
      <c r="G72" s="382"/>
      <c r="H72" s="382"/>
      <c r="I72" s="382"/>
      <c r="J72" s="382"/>
      <c r="K72" s="382"/>
      <c r="L72" s="382"/>
      <c r="M72" s="382"/>
      <c r="N72" s="382"/>
    </row>
    <row r="73" spans="1:17" s="57" customFormat="1" x14ac:dyDescent="0.25">
      <c r="B73" s="382" t="s">
        <v>80</v>
      </c>
      <c r="C73" s="382"/>
      <c r="D73" s="382"/>
      <c r="E73" s="382"/>
      <c r="F73" s="382"/>
      <c r="G73" s="382"/>
      <c r="H73" s="382"/>
      <c r="I73" s="382"/>
      <c r="J73" s="382"/>
      <c r="K73" s="382"/>
      <c r="L73" s="382"/>
      <c r="M73" s="382"/>
      <c r="N73" s="382"/>
    </row>
    <row r="74" spans="1:17" x14ac:dyDescent="0.25">
      <c r="A74" s="4"/>
      <c r="B74" s="382" t="s">
        <v>420</v>
      </c>
      <c r="C74" s="382"/>
      <c r="D74" s="382"/>
      <c r="E74" s="382"/>
      <c r="F74" s="382"/>
      <c r="G74" s="382"/>
      <c r="H74" s="382"/>
      <c r="I74" s="382"/>
      <c r="J74" s="382"/>
      <c r="K74" s="382"/>
      <c r="L74" s="382"/>
      <c r="M74" s="382"/>
      <c r="N74" s="382"/>
    </row>
    <row r="75" spans="1:17" x14ac:dyDescent="0.25">
      <c r="A75" s="4"/>
      <c r="B75" s="382" t="s">
        <v>82</v>
      </c>
      <c r="C75" s="382"/>
      <c r="D75" s="382"/>
      <c r="E75" s="382"/>
      <c r="F75" s="382"/>
      <c r="G75" s="382"/>
      <c r="H75" s="382"/>
      <c r="I75" s="382"/>
      <c r="J75" s="382"/>
      <c r="K75" s="382"/>
      <c r="L75" s="382"/>
      <c r="M75" s="382"/>
      <c r="N75" s="382"/>
    </row>
    <row r="76" spans="1:17" x14ac:dyDescent="0.25">
      <c r="A76" s="4"/>
      <c r="B76" s="58"/>
      <c r="C76" s="58"/>
      <c r="D76" s="58"/>
      <c r="E76" s="121"/>
      <c r="F76" s="58"/>
      <c r="G76" s="17"/>
      <c r="H76" s="17"/>
      <c r="I76" s="17"/>
      <c r="J76" s="17"/>
      <c r="K76" s="17"/>
      <c r="L76" s="17"/>
      <c r="M76" s="17"/>
      <c r="N76" s="17"/>
    </row>
    <row r="77" spans="1:17" x14ac:dyDescent="0.25">
      <c r="A77" s="13">
        <v>13</v>
      </c>
      <c r="B77" s="338" t="s">
        <v>83</v>
      </c>
      <c r="C77" s="339"/>
      <c r="D77" s="339"/>
      <c r="E77" s="339"/>
      <c r="F77" s="339"/>
      <c r="G77" s="340"/>
      <c r="H77" s="15"/>
      <c r="I77" s="15"/>
      <c r="J77" s="15"/>
      <c r="K77" s="15"/>
      <c r="L77" s="15"/>
      <c r="M77" s="15"/>
      <c r="N77" s="15"/>
    </row>
    <row r="78" spans="1:17" x14ac:dyDescent="0.25">
      <c r="A78" s="13"/>
      <c r="B78" s="26"/>
      <c r="C78" s="19"/>
      <c r="D78" s="19"/>
      <c r="E78" s="13"/>
      <c r="F78" s="19"/>
      <c r="G78" s="19"/>
      <c r="H78" s="19"/>
      <c r="I78" s="19"/>
      <c r="J78" s="19"/>
      <c r="K78" s="19"/>
      <c r="L78" s="19"/>
      <c r="M78" s="19"/>
      <c r="N78" s="19"/>
      <c r="Q78" s="73" t="s">
        <v>750</v>
      </c>
    </row>
    <row r="79" spans="1:17" ht="51" x14ac:dyDescent="0.25">
      <c r="A79" s="4"/>
      <c r="B79" s="224" t="s">
        <v>84</v>
      </c>
      <c r="C79" s="226" t="s">
        <v>85</v>
      </c>
      <c r="D79" s="226" t="s">
        <v>86</v>
      </c>
      <c r="E79" s="226" t="s">
        <v>639</v>
      </c>
      <c r="F79" s="226" t="s">
        <v>88</v>
      </c>
      <c r="G79" s="226" t="s">
        <v>169</v>
      </c>
      <c r="H79" s="17"/>
      <c r="I79" s="17"/>
      <c r="J79" s="17"/>
      <c r="K79" s="17"/>
      <c r="L79" s="17"/>
      <c r="M79" s="17"/>
      <c r="N79" s="17"/>
    </row>
    <row r="80" spans="1:17" x14ac:dyDescent="0.2">
      <c r="A80" s="4"/>
      <c r="B80" s="316" t="s">
        <v>90</v>
      </c>
      <c r="C80" s="5" t="s">
        <v>640</v>
      </c>
      <c r="D80" s="91">
        <v>5.46</v>
      </c>
      <c r="E80" s="61">
        <v>5.19</v>
      </c>
      <c r="F80" s="61">
        <v>2.72</v>
      </c>
      <c r="G80" s="61"/>
      <c r="H80" s="62"/>
      <c r="I80" s="62"/>
      <c r="J80" s="62"/>
      <c r="K80" s="62"/>
      <c r="L80" s="62"/>
      <c r="M80" s="62"/>
      <c r="N80" s="62"/>
    </row>
    <row r="81" spans="1:14" x14ac:dyDescent="0.25">
      <c r="A81" s="4"/>
      <c r="B81" s="316"/>
      <c r="C81" s="5" t="s">
        <v>92</v>
      </c>
      <c r="D81" s="229"/>
      <c r="E81" s="61"/>
      <c r="F81" s="61"/>
      <c r="G81" s="61"/>
      <c r="H81" s="62"/>
      <c r="I81" s="62"/>
      <c r="J81" s="62"/>
      <c r="K81" s="62"/>
      <c r="L81" s="62"/>
      <c r="M81" s="62"/>
      <c r="N81" s="62"/>
    </row>
    <row r="82" spans="1:14" x14ac:dyDescent="0.25">
      <c r="A82" s="4"/>
      <c r="B82" s="316"/>
      <c r="C82" s="25" t="s">
        <v>641</v>
      </c>
      <c r="D82" s="229">
        <v>17.07</v>
      </c>
      <c r="E82" s="61">
        <v>18.809999999999999</v>
      </c>
      <c r="F82" s="61">
        <v>19.28</v>
      </c>
      <c r="G82" s="61">
        <v>21.98</v>
      </c>
      <c r="H82" s="62"/>
      <c r="I82" s="62"/>
      <c r="J82" s="62"/>
      <c r="K82" s="62"/>
      <c r="L82" s="62"/>
      <c r="M82" s="62"/>
      <c r="N82" s="62"/>
    </row>
    <row r="83" spans="1:14" x14ac:dyDescent="0.25">
      <c r="A83" s="4"/>
      <c r="B83" s="316"/>
      <c r="C83" s="25" t="s">
        <v>642</v>
      </c>
      <c r="D83" s="229">
        <v>2.36</v>
      </c>
      <c r="E83" s="61">
        <v>-4.9800000000000004</v>
      </c>
      <c r="F83" s="61">
        <v>-4.12</v>
      </c>
      <c r="G83" s="61">
        <v>-7.13</v>
      </c>
      <c r="H83" s="62"/>
      <c r="I83" s="62"/>
      <c r="J83" s="62"/>
      <c r="K83" s="62"/>
      <c r="L83" s="62"/>
      <c r="M83" s="62"/>
      <c r="N83" s="62"/>
    </row>
    <row r="84" spans="1:14" x14ac:dyDescent="0.25">
      <c r="A84" s="4"/>
      <c r="B84" s="316"/>
      <c r="C84" s="25" t="s">
        <v>643</v>
      </c>
      <c r="D84" s="229">
        <v>51.53</v>
      </c>
      <c r="E84" s="61">
        <v>22.4</v>
      </c>
      <c r="F84" s="61">
        <v>15.2</v>
      </c>
      <c r="G84" s="61" t="s">
        <v>871</v>
      </c>
      <c r="H84" s="62"/>
      <c r="I84" s="62"/>
      <c r="J84" s="62"/>
      <c r="K84" s="62"/>
      <c r="L84" s="62"/>
      <c r="M84" s="62"/>
      <c r="N84" s="62"/>
    </row>
    <row r="85" spans="1:14" x14ac:dyDescent="0.25">
      <c r="A85" s="4"/>
      <c r="B85" s="316"/>
      <c r="C85" s="5" t="s">
        <v>93</v>
      </c>
      <c r="D85" s="169">
        <f>SUM(D82:D84)/3</f>
        <v>23.653333333333336</v>
      </c>
      <c r="E85" s="169">
        <f>SUM(E82:E84)/3</f>
        <v>12.076666666666666</v>
      </c>
      <c r="F85" s="169">
        <f>SUM(F82:F84)/3</f>
        <v>10.119999999999999</v>
      </c>
      <c r="G85" s="61"/>
      <c r="H85" s="62"/>
      <c r="I85" s="62"/>
      <c r="J85" s="62"/>
      <c r="K85" s="62"/>
      <c r="L85" s="62"/>
      <c r="M85" s="62"/>
      <c r="N85" s="62"/>
    </row>
    <row r="86" spans="1:14" x14ac:dyDescent="0.2">
      <c r="A86" s="4"/>
      <c r="B86" s="316" t="s">
        <v>94</v>
      </c>
      <c r="C86" s="5" t="s">
        <v>640</v>
      </c>
      <c r="D86" s="93">
        <v>10.17</v>
      </c>
      <c r="E86" s="64">
        <f>26.9/E80</f>
        <v>5.1830443159922925</v>
      </c>
      <c r="F86" s="64">
        <f>I69/F80</f>
        <v>8.1617647058823515</v>
      </c>
      <c r="G86" s="61"/>
      <c r="H86" s="62"/>
      <c r="I86" s="62"/>
      <c r="J86" s="62"/>
      <c r="K86" s="62"/>
      <c r="L86" s="62"/>
      <c r="M86" s="62"/>
      <c r="N86" s="62"/>
    </row>
    <row r="87" spans="1:14" x14ac:dyDescent="0.25">
      <c r="A87" s="4"/>
      <c r="B87" s="316"/>
      <c r="C87" s="5" t="s">
        <v>92</v>
      </c>
      <c r="D87" s="229"/>
      <c r="E87" s="61"/>
      <c r="F87" s="61"/>
      <c r="G87" s="61"/>
      <c r="H87" s="62"/>
      <c r="I87" s="62" t="s">
        <v>750</v>
      </c>
      <c r="J87" s="62"/>
      <c r="K87" s="62"/>
      <c r="L87" s="62"/>
      <c r="M87" s="62"/>
      <c r="N87" s="62"/>
    </row>
    <row r="88" spans="1:14" x14ac:dyDescent="0.25">
      <c r="A88" s="4"/>
      <c r="B88" s="316"/>
      <c r="C88" s="25" t="s">
        <v>641</v>
      </c>
      <c r="D88" s="229">
        <v>51.85</v>
      </c>
      <c r="E88" s="64">
        <f>918.5/E82</f>
        <v>48.830409356725148</v>
      </c>
      <c r="F88" s="64">
        <f>1242.35/F82</f>
        <v>64.437240663900411</v>
      </c>
      <c r="G88" s="61">
        <v>61.74</v>
      </c>
      <c r="H88" s="62"/>
      <c r="I88" s="62"/>
      <c r="J88" s="62"/>
      <c r="K88" s="62"/>
      <c r="L88" s="62"/>
      <c r="M88" s="62"/>
      <c r="N88" s="62"/>
    </row>
    <row r="89" spans="1:14" x14ac:dyDescent="0.25">
      <c r="A89" s="4"/>
      <c r="B89" s="316"/>
      <c r="C89" s="25" t="s">
        <v>642</v>
      </c>
      <c r="D89" s="229">
        <v>31.78</v>
      </c>
      <c r="E89" s="64">
        <f>61.8/E83</f>
        <v>-12.409638554216865</v>
      </c>
      <c r="F89" s="64">
        <f>49/F83</f>
        <v>-11.893203883495145</v>
      </c>
      <c r="G89" s="61">
        <v>0</v>
      </c>
      <c r="H89" s="62"/>
      <c r="I89" s="62"/>
      <c r="J89" s="62"/>
      <c r="K89" s="62"/>
      <c r="L89" s="62"/>
      <c r="M89" s="62"/>
      <c r="N89" s="62"/>
    </row>
    <row r="90" spans="1:14" x14ac:dyDescent="0.25">
      <c r="A90" s="4"/>
      <c r="B90" s="316"/>
      <c r="C90" s="25" t="s">
        <v>643</v>
      </c>
      <c r="D90" s="229">
        <v>41.11</v>
      </c>
      <c r="E90" s="64">
        <f>1908.5/E84</f>
        <v>85.200892857142861</v>
      </c>
      <c r="F90" s="64">
        <f>1473.75/F84</f>
        <v>96.957236842105274</v>
      </c>
      <c r="G90" s="61" t="s">
        <v>871</v>
      </c>
      <c r="H90" s="62"/>
      <c r="I90" s="62"/>
      <c r="J90" s="62"/>
      <c r="K90" s="62"/>
      <c r="L90" s="62"/>
      <c r="M90" s="62"/>
      <c r="N90" s="62"/>
    </row>
    <row r="91" spans="1:14" x14ac:dyDescent="0.25">
      <c r="A91" s="4"/>
      <c r="B91" s="316"/>
      <c r="C91" s="5" t="s">
        <v>93</v>
      </c>
      <c r="D91" s="169">
        <f>SUM(D88:D90)/3</f>
        <v>41.58</v>
      </c>
      <c r="E91" s="169">
        <f>SUM(E88:E90)/3</f>
        <v>40.540554553217049</v>
      </c>
      <c r="F91" s="169">
        <f>SUM(F88:F90)/3</f>
        <v>49.833757874170182</v>
      </c>
      <c r="G91" s="61"/>
      <c r="H91" s="62"/>
      <c r="I91" s="62"/>
      <c r="J91" s="62"/>
      <c r="K91" s="62"/>
      <c r="L91" s="62"/>
      <c r="M91" s="62"/>
      <c r="N91" s="62"/>
    </row>
    <row r="92" spans="1:14" x14ac:dyDescent="0.2">
      <c r="A92" s="4"/>
      <c r="B92" s="316" t="s">
        <v>95</v>
      </c>
      <c r="C92" s="5" t="s">
        <v>640</v>
      </c>
      <c r="D92" s="91">
        <v>13.76</v>
      </c>
      <c r="E92" s="198">
        <f>397.52/2571.27*100</f>
        <v>15.460064481754152</v>
      </c>
      <c r="F92" s="198">
        <f>278.87/2852.47*100</f>
        <v>9.7764393665840483</v>
      </c>
      <c r="G92" s="61"/>
      <c r="H92" s="62"/>
      <c r="I92" s="62"/>
      <c r="J92" s="62"/>
      <c r="K92" s="62"/>
      <c r="L92" s="62"/>
      <c r="M92" s="62"/>
      <c r="N92" s="62"/>
    </row>
    <row r="93" spans="1:14" x14ac:dyDescent="0.25">
      <c r="A93" s="4"/>
      <c r="B93" s="316"/>
      <c r="C93" s="5" t="s">
        <v>92</v>
      </c>
      <c r="D93" s="229"/>
      <c r="E93" s="61"/>
      <c r="F93" s="61"/>
      <c r="G93" s="61"/>
      <c r="H93" s="62"/>
      <c r="I93" s="62"/>
      <c r="J93" s="62"/>
      <c r="K93" s="62"/>
      <c r="L93" s="62"/>
      <c r="M93" s="62"/>
      <c r="N93" s="62"/>
    </row>
    <row r="94" spans="1:14" x14ac:dyDescent="0.25">
      <c r="A94" s="4"/>
      <c r="B94" s="316"/>
      <c r="C94" s="25" t="s">
        <v>641</v>
      </c>
      <c r="D94" s="229">
        <v>24.8</v>
      </c>
      <c r="E94" s="198">
        <f>955.19/3563.93*100</f>
        <v>26.801592623873088</v>
      </c>
      <c r="F94" s="198">
        <f>979.44/4186.72*100</f>
        <v>23.393969503573203</v>
      </c>
      <c r="G94" s="61">
        <v>26.07</v>
      </c>
      <c r="H94" s="62"/>
      <c r="I94" s="62"/>
      <c r="J94" s="62"/>
      <c r="K94" s="62"/>
      <c r="L94" s="62"/>
      <c r="M94" s="62"/>
      <c r="N94" s="62"/>
    </row>
    <row r="95" spans="1:14" x14ac:dyDescent="0.25">
      <c r="A95" s="4"/>
      <c r="B95" s="316"/>
      <c r="C95" s="25" t="s">
        <v>642</v>
      </c>
      <c r="D95" s="229">
        <v>0.33</v>
      </c>
      <c r="E95" s="198">
        <f>1063.51/27768.22*100</f>
        <v>3.8299538105071189</v>
      </c>
      <c r="F95" s="198">
        <f>-879.69/26833.11*100</f>
        <v>-3.278375111941926</v>
      </c>
      <c r="G95" s="61">
        <v>-5.39</v>
      </c>
      <c r="H95" s="62"/>
      <c r="I95" s="62"/>
      <c r="J95" s="62"/>
      <c r="K95" s="62"/>
      <c r="L95" s="62"/>
      <c r="M95" s="62"/>
      <c r="N95" s="62"/>
    </row>
    <row r="96" spans="1:14" x14ac:dyDescent="0.25">
      <c r="A96" s="4"/>
      <c r="B96" s="316"/>
      <c r="C96" s="25" t="s">
        <v>643</v>
      </c>
      <c r="D96" s="229">
        <v>-1.1100000000000001</v>
      </c>
      <c r="E96" s="198">
        <f>2465/13438.8*100</f>
        <v>18.342411524838528</v>
      </c>
      <c r="F96" s="198">
        <f>659.9/14128.9*100</f>
        <v>4.6705688340918261</v>
      </c>
      <c r="G96" s="61" t="s">
        <v>871</v>
      </c>
      <c r="H96" s="62"/>
      <c r="I96" s="62"/>
      <c r="J96" s="62"/>
      <c r="K96" s="62"/>
      <c r="L96" s="62"/>
      <c r="M96" s="62"/>
      <c r="N96" s="62"/>
    </row>
    <row r="97" spans="1:14" x14ac:dyDescent="0.25">
      <c r="A97" s="4"/>
      <c r="B97" s="316"/>
      <c r="C97" s="5" t="s">
        <v>93</v>
      </c>
      <c r="D97" s="169">
        <f>SUM(D94:D96)/3</f>
        <v>8.0066666666666659</v>
      </c>
      <c r="E97" s="169">
        <f>SUM(E94:E96)/3</f>
        <v>16.324652653072913</v>
      </c>
      <c r="F97" s="169">
        <f>SUM(F94:F96)/3</f>
        <v>8.2620544085743663</v>
      </c>
      <c r="G97" s="61"/>
      <c r="H97" s="62"/>
      <c r="I97" s="62"/>
      <c r="J97" s="62"/>
      <c r="K97" s="66"/>
      <c r="L97" s="62"/>
      <c r="M97" s="62"/>
      <c r="N97" s="62"/>
    </row>
    <row r="98" spans="1:14" x14ac:dyDescent="0.2">
      <c r="A98" s="4"/>
      <c r="B98" s="316" t="s">
        <v>96</v>
      </c>
      <c r="C98" s="5" t="s">
        <v>640</v>
      </c>
      <c r="D98" s="91">
        <v>176.63</v>
      </c>
      <c r="E98" s="64">
        <f>2571.27/102.38</f>
        <v>25.114963860128931</v>
      </c>
      <c r="F98" s="64">
        <f>2852.47*100000/10238100</f>
        <v>27.861321924966546</v>
      </c>
      <c r="G98" s="61"/>
      <c r="H98" s="62"/>
      <c r="I98" s="62"/>
      <c r="J98" s="62"/>
      <c r="K98" s="62"/>
      <c r="L98" s="62"/>
      <c r="M98" s="62"/>
      <c r="N98" s="62"/>
    </row>
    <row r="99" spans="1:14" x14ac:dyDescent="0.25">
      <c r="A99" s="4"/>
      <c r="B99" s="316"/>
      <c r="C99" s="5" t="s">
        <v>92</v>
      </c>
      <c r="D99" s="229"/>
      <c r="E99" s="61"/>
      <c r="F99" s="61"/>
      <c r="G99" s="61"/>
      <c r="H99" s="62"/>
      <c r="I99" s="62"/>
      <c r="J99" s="62"/>
      <c r="K99" s="62"/>
      <c r="L99" s="62"/>
      <c r="M99" s="62"/>
      <c r="N99" s="62"/>
    </row>
    <row r="100" spans="1:14" x14ac:dyDescent="0.25">
      <c r="A100" s="4"/>
      <c r="B100" s="386"/>
      <c r="C100" s="25" t="s">
        <v>641</v>
      </c>
      <c r="D100" s="229">
        <v>75.95</v>
      </c>
      <c r="E100" s="64">
        <f>3563.93/50.78</f>
        <v>70.183733753446234</v>
      </c>
      <c r="F100" s="64">
        <f>(4186.72*10000000)/(50.8*1000000)</f>
        <v>824.15748031496059</v>
      </c>
      <c r="G100" s="61">
        <v>87.48</v>
      </c>
      <c r="H100" s="62"/>
      <c r="I100" s="62"/>
      <c r="J100" s="62"/>
      <c r="K100" s="62"/>
      <c r="L100" s="62"/>
      <c r="M100" s="62"/>
      <c r="N100" s="62"/>
    </row>
    <row r="101" spans="1:14" x14ac:dyDescent="0.25">
      <c r="A101" s="4"/>
      <c r="B101" s="386"/>
      <c r="C101" s="25" t="s">
        <v>642</v>
      </c>
      <c r="D101" s="229">
        <v>143.91</v>
      </c>
      <c r="E101" s="64">
        <f>27768.22/2134.23</f>
        <v>13.010884487613801</v>
      </c>
      <c r="F101" s="64">
        <f>26833.11*100000/21342300</f>
        <v>125.72735834469574</v>
      </c>
      <c r="G101" s="61">
        <v>129.30000000000001</v>
      </c>
      <c r="H101" s="62"/>
      <c r="I101" s="62"/>
      <c r="J101" s="62"/>
      <c r="K101" s="62"/>
      <c r="L101" s="62"/>
      <c r="M101" s="62"/>
      <c r="N101" s="62"/>
    </row>
    <row r="102" spans="1:14" x14ac:dyDescent="0.25">
      <c r="A102" s="4"/>
      <c r="B102" s="386"/>
      <c r="C102" s="25" t="s">
        <v>643</v>
      </c>
      <c r="D102" s="229">
        <v>294.48</v>
      </c>
      <c r="E102" s="64">
        <f>13438.8/432.9</f>
        <v>31.043659043659044</v>
      </c>
      <c r="F102" s="64">
        <f>14128.9*1000000/43290000</f>
        <v>326.37791637791639</v>
      </c>
      <c r="G102" s="61" t="s">
        <v>871</v>
      </c>
      <c r="H102" s="62"/>
      <c r="I102" s="62"/>
      <c r="J102" s="62"/>
      <c r="K102" s="62"/>
      <c r="L102" s="62"/>
      <c r="M102" s="62"/>
      <c r="N102" s="62"/>
    </row>
    <row r="103" spans="1:14" x14ac:dyDescent="0.25">
      <c r="A103" s="4"/>
      <c r="B103" s="386"/>
      <c r="C103" s="5" t="s">
        <v>93</v>
      </c>
      <c r="D103" s="169">
        <f>SUM(D100:D102)/3</f>
        <v>171.44666666666669</v>
      </c>
      <c r="E103" s="169">
        <f>SUM(E100:E102)/3</f>
        <v>38.079425761573027</v>
      </c>
      <c r="F103" s="169">
        <f>SUM(F100:F102)/3</f>
        <v>425.42091834585761</v>
      </c>
      <c r="G103" s="80"/>
      <c r="H103" s="62"/>
      <c r="I103" s="62"/>
      <c r="J103" s="62"/>
      <c r="K103" s="62"/>
      <c r="L103" s="62"/>
      <c r="M103" s="62"/>
      <c r="N103" s="62"/>
    </row>
    <row r="104" spans="1:14" s="57" customFormat="1" x14ac:dyDescent="0.25">
      <c r="B104" s="387"/>
      <c r="C104" s="388"/>
      <c r="D104" s="388"/>
      <c r="E104" s="388"/>
      <c r="F104" s="388"/>
      <c r="G104" s="389"/>
    </row>
    <row r="105" spans="1:14" x14ac:dyDescent="0.25">
      <c r="A105" s="4"/>
      <c r="B105" s="376" t="s">
        <v>644</v>
      </c>
      <c r="C105" s="377"/>
      <c r="D105" s="377"/>
      <c r="E105" s="377"/>
      <c r="F105" s="377"/>
      <c r="G105" s="378"/>
      <c r="H105" s="62"/>
      <c r="I105" s="62"/>
      <c r="J105" s="62"/>
      <c r="K105" s="62"/>
      <c r="L105" s="62"/>
      <c r="M105" s="62"/>
      <c r="N105" s="62"/>
    </row>
    <row r="106" spans="1:14" x14ac:dyDescent="0.25">
      <c r="A106" s="4"/>
      <c r="B106" s="379" t="s">
        <v>128</v>
      </c>
      <c r="C106" s="380"/>
      <c r="D106" s="380"/>
      <c r="E106" s="380"/>
      <c r="F106" s="380"/>
      <c r="G106" s="381"/>
      <c r="H106" s="62"/>
      <c r="I106" s="62"/>
      <c r="J106" s="62"/>
      <c r="K106" s="62"/>
      <c r="L106" s="62"/>
      <c r="M106" s="62"/>
      <c r="N106" s="62"/>
    </row>
    <row r="107" spans="1:14" x14ac:dyDescent="0.25">
      <c r="A107" s="4"/>
      <c r="B107" s="353"/>
      <c r="C107" s="354"/>
      <c r="D107" s="354"/>
      <c r="E107" s="354"/>
      <c r="F107" s="354"/>
      <c r="G107" s="355"/>
      <c r="H107" s="62"/>
      <c r="I107" s="62"/>
      <c r="J107" s="62"/>
      <c r="K107" s="62"/>
      <c r="L107" s="62"/>
      <c r="M107" s="62"/>
      <c r="N107" s="62"/>
    </row>
    <row r="108" spans="1:14" x14ac:dyDescent="0.25">
      <c r="A108" s="26"/>
      <c r="B108" s="12"/>
      <c r="C108" s="323"/>
      <c r="D108" s="323"/>
      <c r="E108" s="323"/>
      <c r="F108" s="323"/>
      <c r="G108" s="323"/>
      <c r="H108" s="62"/>
      <c r="I108" s="62"/>
      <c r="J108" s="26"/>
      <c r="K108" s="26"/>
      <c r="L108" s="26"/>
      <c r="M108" s="26"/>
      <c r="N108" s="26"/>
    </row>
    <row r="109" spans="1:14" x14ac:dyDescent="0.25">
      <c r="A109" s="13">
        <v>14</v>
      </c>
      <c r="B109" s="70" t="s">
        <v>99</v>
      </c>
      <c r="C109" s="324" t="s">
        <v>48</v>
      </c>
      <c r="D109" s="325"/>
      <c r="E109" s="325"/>
      <c r="F109" s="325"/>
      <c r="G109" s="326"/>
      <c r="H109" s="26"/>
      <c r="I109" s="26"/>
      <c r="J109" s="26"/>
      <c r="K109" s="26"/>
      <c r="L109" s="26"/>
      <c r="M109" s="26"/>
      <c r="N109" s="26"/>
    </row>
    <row r="110" spans="1:14" x14ac:dyDescent="0.25">
      <c r="A110" s="71"/>
      <c r="B110" s="26"/>
      <c r="C110" s="84"/>
      <c r="D110" s="84"/>
      <c r="E110" s="124"/>
      <c r="F110" s="84"/>
      <c r="G110" s="84"/>
      <c r="H110" s="26"/>
      <c r="I110" s="26"/>
      <c r="J110" s="26"/>
      <c r="K110" s="26"/>
      <c r="L110" s="26"/>
      <c r="M110" s="26"/>
      <c r="N110" s="26"/>
    </row>
    <row r="111" spans="1:14" x14ac:dyDescent="0.25">
      <c r="A111" s="26"/>
      <c r="B111" s="374" t="s">
        <v>645</v>
      </c>
      <c r="C111" s="375"/>
      <c r="D111" s="375"/>
      <c r="E111" s="375"/>
      <c r="F111" s="375"/>
      <c r="G111" s="375"/>
      <c r="H111" s="375"/>
      <c r="I111" s="26"/>
      <c r="J111" s="26"/>
      <c r="K111" s="26"/>
      <c r="L111" s="26"/>
      <c r="M111" s="26"/>
      <c r="N111" s="26"/>
    </row>
    <row r="112" spans="1:14" x14ac:dyDescent="0.25">
      <c r="A112" s="26"/>
      <c r="I112" s="26"/>
      <c r="J112" s="26"/>
      <c r="K112" s="26"/>
      <c r="L112" s="26"/>
      <c r="M112" s="26"/>
      <c r="N112" s="26"/>
    </row>
    <row r="113" spans="1:14" x14ac:dyDescent="0.25">
      <c r="A113" s="26"/>
      <c r="J113" s="26"/>
      <c r="K113" s="26"/>
      <c r="L113" s="26"/>
      <c r="M113" s="26"/>
      <c r="N113"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5"/>
    <mergeCell ref="B86:B91"/>
    <mergeCell ref="B111:H111"/>
    <mergeCell ref="B104:G104"/>
    <mergeCell ref="B105:G105"/>
    <mergeCell ref="B106:G106"/>
    <mergeCell ref="B107:G107"/>
    <mergeCell ref="C108:G108"/>
    <mergeCell ref="C109:G10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opLeftCell="A23" workbookViewId="0">
      <selection activeCell="C40" sqref="C40"/>
    </sheetView>
  </sheetViews>
  <sheetFormatPr defaultColWidth="8.85546875" defaultRowHeight="12.75" x14ac:dyDescent="0.25"/>
  <cols>
    <col min="1" max="1" width="8.85546875" style="73"/>
    <col min="2" max="2" width="40.85546875" style="73" customWidth="1"/>
    <col min="3" max="3" width="43.42578125" style="73" customWidth="1"/>
    <col min="4" max="4" width="41" style="73" customWidth="1"/>
    <col min="5" max="5" width="22.28515625" style="73" customWidth="1"/>
    <col min="6" max="6" width="19.85546875" style="73" customWidth="1"/>
    <col min="7" max="7" width="22.28515625" style="73" customWidth="1"/>
    <col min="8"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6" t="s">
        <v>646</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152</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647</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6" t="s">
        <v>648</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228" t="s">
        <v>15</v>
      </c>
      <c r="C18" s="373" t="s">
        <v>16</v>
      </c>
      <c r="D18" s="373"/>
      <c r="E18" s="373"/>
      <c r="F18" s="19"/>
      <c r="G18" s="17"/>
      <c r="H18" s="17"/>
      <c r="I18" s="17"/>
      <c r="J18" s="17"/>
      <c r="K18" s="17"/>
      <c r="L18" s="17"/>
      <c r="M18" s="17"/>
      <c r="N18" s="17"/>
    </row>
    <row r="19" spans="1:14" ht="25.5" x14ac:dyDescent="0.25">
      <c r="A19" s="13"/>
      <c r="B19" s="228" t="s">
        <v>624</v>
      </c>
      <c r="C19" s="363" t="s">
        <v>16</v>
      </c>
      <c r="D19" s="363"/>
      <c r="E19" s="363"/>
      <c r="F19" s="19"/>
      <c r="G19" s="17"/>
      <c r="I19" s="17"/>
      <c r="J19" s="17"/>
      <c r="K19" s="17"/>
      <c r="L19" s="17"/>
      <c r="M19" s="17"/>
      <c r="N19" s="17"/>
    </row>
    <row r="20" spans="1:14" x14ac:dyDescent="0.25">
      <c r="A20" s="13"/>
      <c r="B20" s="228" t="s">
        <v>18</v>
      </c>
      <c r="C20" s="363" t="s">
        <v>16</v>
      </c>
      <c r="D20" s="363"/>
      <c r="E20" s="36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426" t="s">
        <v>16</v>
      </c>
      <c r="D22" s="426"/>
      <c r="E22" s="426"/>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26</v>
      </c>
      <c r="E28" s="226" t="s">
        <v>355</v>
      </c>
      <c r="F28" s="19"/>
      <c r="G28" s="26"/>
      <c r="H28" s="26"/>
      <c r="I28" s="26"/>
      <c r="J28" s="26"/>
      <c r="K28" s="26"/>
      <c r="L28" s="26"/>
      <c r="M28" s="26"/>
      <c r="N28" s="26"/>
    </row>
    <row r="29" spans="1:14" ht="12.75" customHeight="1" x14ac:dyDescent="0.25">
      <c r="A29" s="13"/>
      <c r="B29" s="230" t="s">
        <v>28</v>
      </c>
      <c r="C29" s="232">
        <v>8025.78</v>
      </c>
      <c r="D29" s="232">
        <v>10088.43</v>
      </c>
      <c r="E29" s="232">
        <v>11467.52</v>
      </c>
      <c r="F29" s="19"/>
      <c r="G29" s="26"/>
      <c r="H29" s="26"/>
      <c r="I29" s="26"/>
      <c r="J29" s="26"/>
      <c r="K29" s="26"/>
      <c r="L29" s="26"/>
      <c r="M29" s="26"/>
      <c r="N29" s="26"/>
    </row>
    <row r="30" spans="1:14" x14ac:dyDescent="0.25">
      <c r="A30" s="13"/>
      <c r="B30" s="230" t="s">
        <v>29</v>
      </c>
      <c r="C30" s="232">
        <v>460.57</v>
      </c>
      <c r="D30" s="232">
        <v>474.61</v>
      </c>
      <c r="E30" s="232">
        <v>796.52</v>
      </c>
      <c r="F30" s="19"/>
      <c r="G30" s="26"/>
      <c r="H30" s="26"/>
      <c r="I30" s="26"/>
      <c r="J30" s="26"/>
      <c r="K30" s="26"/>
      <c r="L30" s="26"/>
      <c r="M30" s="26"/>
      <c r="N30" s="26"/>
    </row>
    <row r="31" spans="1:14" x14ac:dyDescent="0.25">
      <c r="A31" s="13"/>
      <c r="B31" s="230" t="s">
        <v>30</v>
      </c>
      <c r="C31" s="232">
        <v>1364.5</v>
      </c>
      <c r="D31" s="232">
        <v>1364.5</v>
      </c>
      <c r="E31" s="232">
        <v>1364.5</v>
      </c>
      <c r="F31" s="19" t="s">
        <v>750</v>
      </c>
      <c r="G31" s="26"/>
      <c r="H31" s="26"/>
      <c r="I31" s="26"/>
      <c r="J31" s="26"/>
      <c r="K31" s="26"/>
      <c r="L31" s="26"/>
      <c r="M31" s="26"/>
      <c r="N31" s="26"/>
    </row>
    <row r="32" spans="1:14" x14ac:dyDescent="0.25">
      <c r="A32" s="13"/>
      <c r="B32" s="230" t="s">
        <v>31</v>
      </c>
      <c r="C32" s="232">
        <v>2725.11</v>
      </c>
      <c r="D32" s="232">
        <v>3201.18</v>
      </c>
      <c r="E32" s="232">
        <v>3874.33</v>
      </c>
      <c r="F32" s="19"/>
      <c r="G32" s="26"/>
      <c r="H32" s="26"/>
      <c r="I32" s="26"/>
      <c r="J32" s="26"/>
      <c r="K32" s="26"/>
      <c r="L32" s="26"/>
      <c r="M32" s="26"/>
      <c r="N32" s="26"/>
    </row>
    <row r="33" spans="1:14" x14ac:dyDescent="0.25">
      <c r="A33" s="13"/>
      <c r="B33" s="353" t="s">
        <v>649</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32" t="s">
        <v>245</v>
      </c>
      <c r="D38" s="17"/>
      <c r="E38" s="17"/>
      <c r="F38" s="17"/>
      <c r="G38" s="26"/>
      <c r="H38" s="26"/>
      <c r="I38" s="26"/>
      <c r="J38" s="26"/>
      <c r="K38" s="26"/>
      <c r="L38" s="26"/>
      <c r="M38" s="26"/>
      <c r="N38" s="26"/>
    </row>
    <row r="39" spans="1:14" x14ac:dyDescent="0.25">
      <c r="A39" s="13"/>
      <c r="B39" s="382" t="s">
        <v>156</v>
      </c>
      <c r="C39" s="382"/>
      <c r="D39" s="17"/>
      <c r="E39" s="17"/>
      <c r="F39" s="17" t="s">
        <v>750</v>
      </c>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607</v>
      </c>
      <c r="D43" s="351"/>
      <c r="E43" s="352"/>
      <c r="F43" s="17"/>
      <c r="G43" s="26"/>
      <c r="H43" s="26"/>
      <c r="I43" s="26"/>
      <c r="J43" s="26"/>
      <c r="K43" s="26"/>
      <c r="L43" s="26"/>
      <c r="M43" s="26"/>
      <c r="N43" s="26"/>
    </row>
    <row r="44" spans="1:14" x14ac:dyDescent="0.25">
      <c r="A44" s="13"/>
      <c r="B44" s="227" t="s">
        <v>36</v>
      </c>
      <c r="C44" s="350" t="s">
        <v>607</v>
      </c>
      <c r="D44" s="351"/>
      <c r="E44" s="352"/>
      <c r="F44" s="17"/>
      <c r="G44" s="26"/>
      <c r="H44" s="26"/>
      <c r="I44" s="26"/>
      <c r="J44" s="26"/>
      <c r="K44" s="26"/>
      <c r="L44" s="26"/>
      <c r="M44" s="26"/>
      <c r="N44" s="26"/>
    </row>
    <row r="45" spans="1:14" ht="30" customHeight="1" x14ac:dyDescent="0.25">
      <c r="A45" s="13"/>
      <c r="B45" s="227" t="s">
        <v>37</v>
      </c>
      <c r="C45" s="367" t="s">
        <v>869</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225" t="s">
        <v>42</v>
      </c>
      <c r="C49" s="32" t="s">
        <v>43</v>
      </c>
      <c r="D49" s="33" t="s">
        <v>44</v>
      </c>
      <c r="E49" s="32" t="s">
        <v>268</v>
      </c>
      <c r="F49" s="26"/>
      <c r="G49" s="26"/>
      <c r="H49" s="26"/>
      <c r="I49" s="26"/>
      <c r="J49" s="26"/>
      <c r="K49" s="26"/>
      <c r="L49" s="26"/>
      <c r="M49" s="26"/>
    </row>
    <row r="50" spans="1:14" ht="76.5" x14ac:dyDescent="0.25">
      <c r="A50" s="34"/>
      <c r="B50" s="94" t="s">
        <v>369</v>
      </c>
      <c r="C50" s="94" t="s">
        <v>650</v>
      </c>
      <c r="D50" s="133" t="s">
        <v>719</v>
      </c>
      <c r="E50" s="94" t="s">
        <v>125</v>
      </c>
      <c r="F50" s="26"/>
      <c r="G50" s="26"/>
      <c r="H50" s="26"/>
      <c r="I50" s="26"/>
      <c r="J50" s="26"/>
      <c r="K50" s="26"/>
      <c r="L50" s="26"/>
      <c r="M50" s="26"/>
    </row>
    <row r="51" spans="1:14" x14ac:dyDescent="0.25">
      <c r="A51" s="36"/>
      <c r="B51" s="345" t="s">
        <v>720</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ht="48.75" customHeight="1" x14ac:dyDescent="0.25">
      <c r="A54" s="34"/>
      <c r="B54" s="357" t="s">
        <v>50</v>
      </c>
      <c r="C54" s="394" t="s">
        <v>721</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ht="70.5" customHeight="1" x14ac:dyDescent="0.25">
      <c r="A56" s="29"/>
      <c r="B56" s="39" t="s">
        <v>54</v>
      </c>
      <c r="C56" s="344" t="s">
        <v>722</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723</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15"/>
      <c r="F64" s="15"/>
      <c r="G64" s="15"/>
      <c r="H64" s="15"/>
      <c r="I64" s="15"/>
      <c r="J64" s="15"/>
      <c r="K64" s="15"/>
      <c r="L64" s="15"/>
      <c r="M64" s="15"/>
      <c r="N64" s="15"/>
    </row>
    <row r="65" spans="1:16" x14ac:dyDescent="0.25">
      <c r="A65" s="13"/>
      <c r="B65" s="21" t="s">
        <v>62</v>
      </c>
      <c r="C65" s="23" t="s">
        <v>651</v>
      </c>
      <c r="D65" s="19"/>
      <c r="E65" s="19"/>
      <c r="F65" s="52"/>
      <c r="G65" s="52"/>
      <c r="H65" s="19"/>
      <c r="I65" s="19"/>
      <c r="J65" s="19"/>
      <c r="K65" s="19"/>
      <c r="L65" s="19"/>
      <c r="M65" s="19"/>
      <c r="N65" s="19"/>
    </row>
    <row r="66" spans="1:16" x14ac:dyDescent="0.25">
      <c r="A66" s="13"/>
      <c r="B66" s="19"/>
      <c r="C66" s="19"/>
      <c r="D66" s="19"/>
      <c r="E66" s="19"/>
      <c r="F66" s="19"/>
      <c r="G66" s="19"/>
      <c r="H66" s="19"/>
      <c r="I66" s="19"/>
      <c r="J66" s="19"/>
      <c r="K66" s="19"/>
      <c r="L66" s="19"/>
      <c r="M66" s="19"/>
      <c r="N66" s="19"/>
    </row>
    <row r="67" spans="1:16" x14ac:dyDescent="0.25">
      <c r="A67" s="13"/>
      <c r="B67" s="333" t="s">
        <v>64</v>
      </c>
      <c r="C67" s="372" t="s">
        <v>652</v>
      </c>
      <c r="D67" s="372" t="s">
        <v>333</v>
      </c>
      <c r="E67" s="336" t="s">
        <v>294</v>
      </c>
      <c r="F67" s="327" t="s">
        <v>653</v>
      </c>
      <c r="G67" s="328"/>
      <c r="H67" s="329"/>
      <c r="I67" s="330" t="s">
        <v>69</v>
      </c>
      <c r="J67" s="330"/>
      <c r="K67" s="330"/>
      <c r="L67" s="330" t="s">
        <v>70</v>
      </c>
      <c r="M67" s="330"/>
      <c r="N67" s="330"/>
    </row>
    <row r="68" spans="1:16"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6" x14ac:dyDescent="0.25">
      <c r="A69" s="4"/>
      <c r="B69" s="227" t="s">
        <v>165</v>
      </c>
      <c r="C69" s="53">
        <v>49.05</v>
      </c>
      <c r="D69" s="54">
        <v>48</v>
      </c>
      <c r="E69" s="54">
        <v>45</v>
      </c>
      <c r="F69" s="54">
        <v>49.5</v>
      </c>
      <c r="G69" s="54">
        <v>56.05</v>
      </c>
      <c r="H69" s="53">
        <v>41.3</v>
      </c>
      <c r="I69" s="53">
        <v>36.799999999999997</v>
      </c>
      <c r="J69" s="53">
        <v>53</v>
      </c>
      <c r="K69" s="53">
        <v>22.05</v>
      </c>
      <c r="L69" s="53">
        <v>34.65</v>
      </c>
      <c r="M69" s="53">
        <v>43.75</v>
      </c>
      <c r="N69" s="53">
        <v>21.1</v>
      </c>
    </row>
    <row r="70" spans="1:16" ht="25.5" x14ac:dyDescent="0.25">
      <c r="A70" s="4"/>
      <c r="B70" s="227" t="s">
        <v>166</v>
      </c>
      <c r="C70" s="53">
        <v>9998.0499999999993</v>
      </c>
      <c r="D70" s="53">
        <v>10584.7</v>
      </c>
      <c r="E70" s="53">
        <v>10741.1</v>
      </c>
      <c r="F70" s="54">
        <v>10113.700000000001</v>
      </c>
      <c r="G70" s="54">
        <v>9075.15</v>
      </c>
      <c r="H70" s="141">
        <v>11075.95</v>
      </c>
      <c r="I70" s="53">
        <v>11623.9</v>
      </c>
      <c r="J70" s="53">
        <v>11760.2</v>
      </c>
      <c r="K70" s="53">
        <v>10004.549999999999</v>
      </c>
      <c r="L70" s="53">
        <v>8597.75</v>
      </c>
      <c r="M70" s="53">
        <v>12430.5</v>
      </c>
      <c r="N70" s="53">
        <v>7511.1</v>
      </c>
    </row>
    <row r="71" spans="1:16" ht="13.5" x14ac:dyDescent="0.25">
      <c r="A71" s="4"/>
      <c r="B71" s="383" t="s">
        <v>156</v>
      </c>
      <c r="C71" s="383"/>
      <c r="D71" s="383"/>
      <c r="E71" s="383"/>
      <c r="F71" s="383"/>
      <c r="G71" s="383"/>
      <c r="H71" s="383"/>
      <c r="I71" s="383"/>
      <c r="J71" s="383"/>
      <c r="K71" s="383"/>
      <c r="L71" s="383"/>
      <c r="M71" s="383"/>
      <c r="N71" s="383"/>
    </row>
    <row r="72" spans="1:16" x14ac:dyDescent="0.25">
      <c r="A72" s="4"/>
      <c r="B72" s="382" t="s">
        <v>79</v>
      </c>
      <c r="C72" s="382"/>
      <c r="D72" s="382"/>
      <c r="E72" s="382"/>
      <c r="F72" s="382"/>
      <c r="G72" s="382"/>
      <c r="H72" s="382"/>
      <c r="I72" s="382"/>
      <c r="J72" s="382"/>
      <c r="K72" s="382"/>
      <c r="L72" s="382"/>
      <c r="M72" s="382"/>
      <c r="N72" s="382"/>
    </row>
    <row r="73" spans="1:16" s="57" customFormat="1" x14ac:dyDescent="0.25">
      <c r="B73" s="382" t="s">
        <v>80</v>
      </c>
      <c r="C73" s="382"/>
      <c r="D73" s="382"/>
      <c r="E73" s="382"/>
      <c r="F73" s="382"/>
      <c r="G73" s="382"/>
      <c r="H73" s="382"/>
      <c r="I73" s="382"/>
      <c r="J73" s="382"/>
      <c r="K73" s="382"/>
      <c r="L73" s="382"/>
      <c r="M73" s="382"/>
      <c r="N73" s="382"/>
      <c r="P73" s="57" t="s">
        <v>750</v>
      </c>
    </row>
    <row r="74" spans="1:16" x14ac:dyDescent="0.25">
      <c r="A74" s="4"/>
      <c r="B74" s="382" t="s">
        <v>420</v>
      </c>
      <c r="C74" s="382"/>
      <c r="D74" s="382"/>
      <c r="E74" s="382"/>
      <c r="F74" s="382"/>
      <c r="G74" s="382"/>
      <c r="H74" s="382"/>
      <c r="I74" s="382"/>
      <c r="J74" s="382"/>
      <c r="K74" s="382"/>
      <c r="L74" s="382"/>
      <c r="M74" s="382"/>
      <c r="N74" s="382"/>
    </row>
    <row r="75" spans="1:16" x14ac:dyDescent="0.25">
      <c r="A75" s="4"/>
      <c r="B75" s="382" t="s">
        <v>82</v>
      </c>
      <c r="C75" s="382"/>
      <c r="D75" s="382"/>
      <c r="E75" s="382"/>
      <c r="F75" s="382"/>
      <c r="G75" s="382"/>
      <c r="H75" s="382"/>
      <c r="I75" s="382"/>
      <c r="J75" s="382"/>
      <c r="K75" s="382"/>
      <c r="L75" s="382"/>
      <c r="M75" s="382"/>
      <c r="N75" s="382"/>
    </row>
    <row r="76" spans="1:16" x14ac:dyDescent="0.25">
      <c r="A76" s="4"/>
      <c r="B76" s="58"/>
      <c r="C76" s="58"/>
      <c r="D76" s="58"/>
      <c r="E76" s="58"/>
      <c r="F76" s="58"/>
      <c r="G76" s="17"/>
      <c r="H76" s="17"/>
      <c r="I76" s="17"/>
      <c r="J76" s="17"/>
      <c r="K76" s="17"/>
      <c r="L76" s="17"/>
      <c r="M76" s="17"/>
      <c r="N76" s="17"/>
    </row>
    <row r="77" spans="1:16" x14ac:dyDescent="0.25">
      <c r="A77" s="13">
        <v>13</v>
      </c>
      <c r="B77" s="338" t="s">
        <v>83</v>
      </c>
      <c r="C77" s="339"/>
      <c r="D77" s="339"/>
      <c r="E77" s="339"/>
      <c r="F77" s="339"/>
      <c r="G77" s="340"/>
      <c r="H77" s="15"/>
      <c r="I77" s="15"/>
      <c r="J77" s="15"/>
      <c r="K77" s="15"/>
      <c r="L77" s="15"/>
      <c r="M77" s="15"/>
      <c r="N77" s="15"/>
    </row>
    <row r="78" spans="1:16" x14ac:dyDescent="0.25">
      <c r="A78" s="13"/>
      <c r="B78" s="26"/>
      <c r="C78" s="19"/>
      <c r="D78" s="19"/>
      <c r="E78" s="19"/>
      <c r="F78" s="19"/>
      <c r="G78" s="19"/>
      <c r="H78" s="19"/>
      <c r="I78" s="19"/>
      <c r="J78" s="19"/>
      <c r="K78" s="19"/>
      <c r="L78" s="19"/>
      <c r="M78" s="19"/>
      <c r="N78" s="19"/>
    </row>
    <row r="79" spans="1:16" ht="38.25" x14ac:dyDescent="0.25">
      <c r="A79" s="4"/>
      <c r="B79" s="59" t="s">
        <v>84</v>
      </c>
      <c r="C79" s="22" t="s">
        <v>85</v>
      </c>
      <c r="D79" s="22" t="s">
        <v>86</v>
      </c>
      <c r="E79" s="22" t="s">
        <v>654</v>
      </c>
      <c r="F79" s="22" t="s">
        <v>88</v>
      </c>
      <c r="G79" s="226" t="s">
        <v>169</v>
      </c>
      <c r="H79" s="17"/>
      <c r="I79" s="17"/>
      <c r="J79" s="17"/>
      <c r="K79" s="17"/>
      <c r="L79" s="17"/>
      <c r="M79" s="17"/>
      <c r="N79" s="17"/>
    </row>
    <row r="80" spans="1:16" x14ac:dyDescent="0.2">
      <c r="A80" s="4"/>
      <c r="B80" s="316" t="s">
        <v>90</v>
      </c>
      <c r="C80" s="5" t="s">
        <v>655</v>
      </c>
      <c r="D80" s="91">
        <v>2.82</v>
      </c>
      <c r="E80" s="61">
        <v>4.93</v>
      </c>
      <c r="F80" s="61">
        <v>3.48</v>
      </c>
      <c r="G80" s="61"/>
      <c r="H80" s="62"/>
      <c r="I80" s="62"/>
      <c r="J80" s="62"/>
      <c r="K80" s="62"/>
      <c r="L80" s="62"/>
      <c r="M80" s="62"/>
      <c r="N80" s="62"/>
    </row>
    <row r="81" spans="1:14" x14ac:dyDescent="0.25">
      <c r="A81" s="4"/>
      <c r="B81" s="316"/>
      <c r="C81" s="5" t="s">
        <v>92</v>
      </c>
      <c r="D81" s="63"/>
      <c r="E81" s="61"/>
      <c r="F81" s="61"/>
      <c r="G81" s="61"/>
      <c r="H81" s="62"/>
      <c r="I81" s="62"/>
      <c r="J81" s="62"/>
      <c r="K81" s="62"/>
      <c r="L81" s="62"/>
      <c r="M81" s="62"/>
      <c r="N81" s="62"/>
    </row>
    <row r="82" spans="1:14" x14ac:dyDescent="0.25">
      <c r="A82" s="4"/>
      <c r="B82" s="316"/>
      <c r="C82" s="25" t="s">
        <v>656</v>
      </c>
      <c r="D82" s="63">
        <v>2.94</v>
      </c>
      <c r="E82" s="61">
        <v>9.7799999999999994</v>
      </c>
      <c r="F82" s="61">
        <v>8.18</v>
      </c>
      <c r="G82" s="61" t="s">
        <v>872</v>
      </c>
      <c r="H82" s="62"/>
      <c r="I82" s="62"/>
      <c r="J82" s="62"/>
      <c r="K82" s="62"/>
      <c r="L82" s="62"/>
      <c r="M82" s="62"/>
      <c r="N82" s="62"/>
    </row>
    <row r="83" spans="1:14" x14ac:dyDescent="0.25">
      <c r="A83" s="4"/>
      <c r="B83" s="316"/>
      <c r="C83" s="25" t="s">
        <v>657</v>
      </c>
      <c r="D83" s="63">
        <v>9.75</v>
      </c>
      <c r="E83" s="61">
        <v>10.77</v>
      </c>
      <c r="F83" s="61">
        <v>6.3</v>
      </c>
      <c r="G83" s="61">
        <v>-11.85</v>
      </c>
      <c r="H83" s="62"/>
      <c r="I83" s="62"/>
      <c r="J83" s="62"/>
      <c r="K83" s="62"/>
      <c r="L83" s="62"/>
      <c r="M83" s="62"/>
      <c r="N83" s="62"/>
    </row>
    <row r="84" spans="1:14" x14ac:dyDescent="0.25">
      <c r="A84" s="4"/>
      <c r="B84" s="316"/>
      <c r="C84" s="5" t="s">
        <v>93</v>
      </c>
      <c r="D84" s="169">
        <f>SUM(D82:D83)/2</f>
        <v>6.3449999999999998</v>
      </c>
      <c r="E84" s="169">
        <f>SUM(E82:E83)/2</f>
        <v>10.274999999999999</v>
      </c>
      <c r="F84" s="169">
        <f>SUM(F82:F83)/2</f>
        <v>7.24</v>
      </c>
      <c r="G84" s="61"/>
      <c r="H84" s="62"/>
      <c r="I84" s="62"/>
      <c r="J84" s="62"/>
      <c r="K84" s="62"/>
      <c r="L84" s="62"/>
      <c r="M84" s="62"/>
      <c r="N84" s="62"/>
    </row>
    <row r="85" spans="1:14" x14ac:dyDescent="0.2">
      <c r="A85" s="4"/>
      <c r="B85" s="316" t="s">
        <v>94</v>
      </c>
      <c r="C85" s="5" t="s">
        <v>655</v>
      </c>
      <c r="D85" s="93">
        <v>19.5</v>
      </c>
      <c r="E85" s="64">
        <f>49.5/E80</f>
        <v>10.04056795131846</v>
      </c>
      <c r="F85" s="64">
        <f>I69/F80</f>
        <v>10.57471264367816</v>
      </c>
      <c r="G85" s="61"/>
      <c r="H85" s="62"/>
      <c r="I85" s="62"/>
      <c r="J85" s="62"/>
      <c r="K85" s="62"/>
      <c r="L85" s="62"/>
      <c r="M85" s="62"/>
      <c r="N85" s="62"/>
    </row>
    <row r="86" spans="1:14" x14ac:dyDescent="0.25">
      <c r="A86" s="4"/>
      <c r="B86" s="316"/>
      <c r="C86" s="5" t="s">
        <v>92</v>
      </c>
      <c r="D86" s="63"/>
      <c r="E86" s="61"/>
      <c r="F86" s="61"/>
      <c r="G86" s="61"/>
      <c r="H86" s="62"/>
      <c r="I86" s="62"/>
      <c r="J86" s="62"/>
      <c r="K86" s="62"/>
      <c r="L86" s="62"/>
      <c r="M86" s="62"/>
      <c r="N86" s="62"/>
    </row>
    <row r="87" spans="1:14" x14ac:dyDescent="0.25">
      <c r="A87" s="4"/>
      <c r="B87" s="316"/>
      <c r="C87" s="25" t="s">
        <v>656</v>
      </c>
      <c r="D87" s="63">
        <v>26.45</v>
      </c>
      <c r="E87" s="64">
        <f>82.5/9.78</f>
        <v>8.4355828220858893</v>
      </c>
      <c r="F87" s="64">
        <f>77.3/F82</f>
        <v>9.4498777506112468</v>
      </c>
      <c r="G87" s="61" t="s">
        <v>872</v>
      </c>
      <c r="H87" s="62"/>
      <c r="I87" s="62"/>
      <c r="J87" s="62"/>
      <c r="K87" s="62"/>
      <c r="L87" s="62"/>
      <c r="M87" s="62"/>
      <c r="N87" s="62"/>
    </row>
    <row r="88" spans="1:14" x14ac:dyDescent="0.25">
      <c r="A88" s="4"/>
      <c r="B88" s="316"/>
      <c r="C88" s="25" t="s">
        <v>657</v>
      </c>
      <c r="D88" s="63">
        <v>22.03</v>
      </c>
      <c r="E88" s="64">
        <f>180.15/10.77</f>
        <v>16.727019498607245</v>
      </c>
      <c r="F88" s="64">
        <f>101.45/F83</f>
        <v>16.103174603174605</v>
      </c>
      <c r="G88" s="61">
        <v>0</v>
      </c>
      <c r="H88" s="62"/>
      <c r="I88" s="62"/>
      <c r="J88" s="62"/>
      <c r="K88" s="62"/>
      <c r="L88" s="62"/>
      <c r="M88" s="62"/>
      <c r="N88" s="62"/>
    </row>
    <row r="89" spans="1:14" x14ac:dyDescent="0.25">
      <c r="A89" s="4"/>
      <c r="B89" s="316"/>
      <c r="C89" s="5" t="s">
        <v>93</v>
      </c>
      <c r="D89" s="169">
        <f>SUM(D87:D88)/2</f>
        <v>24.240000000000002</v>
      </c>
      <c r="E89" s="169">
        <f>SUM(E87:E88)/2</f>
        <v>12.581301160346566</v>
      </c>
      <c r="F89" s="169">
        <f>SUM(F87:F88)/2</f>
        <v>12.776526176892926</v>
      </c>
      <c r="G89" s="61"/>
      <c r="H89" s="62"/>
      <c r="I89" s="62"/>
      <c r="J89" s="62"/>
      <c r="K89" s="62"/>
      <c r="L89" s="62"/>
      <c r="M89" s="62"/>
      <c r="N89" s="62"/>
    </row>
    <row r="90" spans="1:14" x14ac:dyDescent="0.2">
      <c r="A90" s="4"/>
      <c r="B90" s="316" t="s">
        <v>95</v>
      </c>
      <c r="C90" s="5" t="s">
        <v>655</v>
      </c>
      <c r="D90" s="91">
        <v>17.48</v>
      </c>
      <c r="E90" s="65">
        <f>46056973/408960696</f>
        <v>0.11261955843306762</v>
      </c>
      <c r="F90" s="198">
        <f>474.61/4565.69*100</f>
        <v>10.395142902825203</v>
      </c>
      <c r="G90" s="61"/>
      <c r="H90" s="62"/>
      <c r="I90" s="62"/>
      <c r="J90" s="62"/>
      <c r="K90" s="62"/>
      <c r="L90" s="62"/>
      <c r="M90" s="62"/>
      <c r="N90" s="62"/>
    </row>
    <row r="91" spans="1:14" x14ac:dyDescent="0.25">
      <c r="A91" s="4"/>
      <c r="B91" s="316"/>
      <c r="C91" s="5" t="s">
        <v>92</v>
      </c>
      <c r="D91" s="63"/>
      <c r="E91" s="61"/>
      <c r="F91" s="61"/>
      <c r="G91" s="61"/>
      <c r="H91" s="62"/>
      <c r="I91" s="62"/>
      <c r="J91" s="62"/>
      <c r="K91" s="62"/>
      <c r="L91" s="62"/>
      <c r="M91" s="62"/>
      <c r="N91" s="62"/>
    </row>
    <row r="92" spans="1:14" x14ac:dyDescent="0.25">
      <c r="A92" s="4"/>
      <c r="B92" s="316"/>
      <c r="C92" s="25" t="s">
        <v>656</v>
      </c>
      <c r="D92" s="63">
        <v>20.5</v>
      </c>
      <c r="E92" s="65">
        <f>68452227/188692292</f>
        <v>0.36277171830633126</v>
      </c>
      <c r="F92" s="65">
        <v>0.30299999999999999</v>
      </c>
      <c r="G92" s="61" t="s">
        <v>872</v>
      </c>
      <c r="H92" s="62"/>
      <c r="I92" s="62"/>
      <c r="J92" s="62"/>
      <c r="K92" s="62"/>
      <c r="L92" s="62"/>
      <c r="M92" s="62"/>
      <c r="N92" s="62"/>
    </row>
    <row r="93" spans="1:14" x14ac:dyDescent="0.25">
      <c r="A93" s="4"/>
      <c r="B93" s="316"/>
      <c r="C93" s="25" t="s">
        <v>657</v>
      </c>
      <c r="D93" s="63">
        <v>24.56</v>
      </c>
      <c r="E93" s="65">
        <f>1135.73/5849.77</f>
        <v>0.19414951357061899</v>
      </c>
      <c r="F93" s="65">
        <v>9.69E-2</v>
      </c>
      <c r="G93" s="61">
        <v>-21.01</v>
      </c>
      <c r="H93" s="62"/>
      <c r="I93" s="62"/>
      <c r="J93" s="62"/>
      <c r="K93" s="62"/>
      <c r="L93" s="62"/>
      <c r="M93" s="62"/>
      <c r="N93" s="62"/>
    </row>
    <row r="94" spans="1:14" x14ac:dyDescent="0.25">
      <c r="A94" s="4"/>
      <c r="B94" s="316"/>
      <c r="C94" s="5" t="s">
        <v>93</v>
      </c>
      <c r="D94" s="169">
        <f>SUM(D92:D93)/2</f>
        <v>22.53</v>
      </c>
      <c r="E94" s="169">
        <f>SUM(E92:E93)/2</f>
        <v>0.27846061593847515</v>
      </c>
      <c r="F94" s="169">
        <f>SUM(F92:F93)/2</f>
        <v>0.19994999999999999</v>
      </c>
      <c r="G94" s="61"/>
      <c r="H94" s="62"/>
      <c r="I94" s="62"/>
      <c r="J94" s="62"/>
      <c r="K94" s="66"/>
      <c r="L94" s="62"/>
      <c r="M94" s="62"/>
      <c r="N94" s="62"/>
    </row>
    <row r="95" spans="1:14" x14ac:dyDescent="0.2">
      <c r="A95" s="4"/>
      <c r="B95" s="316" t="s">
        <v>96</v>
      </c>
      <c r="C95" s="5" t="s">
        <v>655</v>
      </c>
      <c r="D95" s="91">
        <v>16.14</v>
      </c>
      <c r="E95" s="64">
        <f>408960696/13644980</f>
        <v>29.971513039960485</v>
      </c>
      <c r="F95" s="64">
        <f>456568097/13644980</f>
        <v>33.460517860781032</v>
      </c>
      <c r="G95" s="61"/>
      <c r="H95" s="62"/>
      <c r="I95" s="62"/>
      <c r="J95" s="62"/>
      <c r="K95" s="62"/>
      <c r="L95" s="62"/>
      <c r="M95" s="62"/>
      <c r="N95" s="62"/>
    </row>
    <row r="96" spans="1:14" x14ac:dyDescent="0.25">
      <c r="A96" s="4"/>
      <c r="B96" s="316"/>
      <c r="C96" s="5" t="s">
        <v>92</v>
      </c>
      <c r="D96" s="63"/>
      <c r="E96" s="61"/>
      <c r="F96" s="61"/>
      <c r="G96" s="61"/>
      <c r="H96" s="62"/>
      <c r="I96" s="62"/>
      <c r="J96" s="62"/>
      <c r="K96" s="62"/>
      <c r="L96" s="62"/>
      <c r="M96" s="62"/>
      <c r="N96" s="62"/>
    </row>
    <row r="97" spans="1:14" x14ac:dyDescent="0.25">
      <c r="A97" s="4"/>
      <c r="B97" s="386"/>
      <c r="C97" s="25" t="s">
        <v>656</v>
      </c>
      <c r="D97" s="63">
        <v>17.41</v>
      </c>
      <c r="E97" s="64">
        <f>188692292/10047040</f>
        <v>18.780883922030768</v>
      </c>
      <c r="F97" s="64">
        <v>27.01</v>
      </c>
      <c r="G97" s="61" t="s">
        <v>872</v>
      </c>
      <c r="H97" s="62" t="s">
        <v>750</v>
      </c>
      <c r="I97" s="62"/>
      <c r="J97" s="62"/>
      <c r="K97" s="62"/>
      <c r="L97" s="62"/>
      <c r="M97" s="62"/>
      <c r="N97" s="62"/>
    </row>
    <row r="98" spans="1:14" x14ac:dyDescent="0.25">
      <c r="A98" s="4"/>
      <c r="B98" s="386"/>
      <c r="C98" s="25" t="s">
        <v>657</v>
      </c>
      <c r="D98" s="210">
        <v>44.56</v>
      </c>
      <c r="E98" s="64">
        <f>5849.77/105.73</f>
        <v>55.327437813298026</v>
      </c>
      <c r="F98" s="64">
        <v>61.64</v>
      </c>
      <c r="G98" s="61">
        <v>49.81</v>
      </c>
      <c r="H98" s="62"/>
      <c r="I98" s="62"/>
      <c r="J98" s="62"/>
      <c r="K98" s="62"/>
      <c r="L98" s="62"/>
      <c r="M98" s="62"/>
      <c r="N98" s="62"/>
    </row>
    <row r="99" spans="1:14" x14ac:dyDescent="0.25">
      <c r="A99" s="4"/>
      <c r="B99" s="386"/>
      <c r="C99" s="5" t="s">
        <v>93</v>
      </c>
      <c r="D99" s="169">
        <f>SUM(D97:D98)/2</f>
        <v>30.984999999999999</v>
      </c>
      <c r="E99" s="169">
        <f>SUM(E97:E98)/2</f>
        <v>37.054160867664393</v>
      </c>
      <c r="F99" s="169">
        <f>SUM(F97:F98)/2</f>
        <v>44.325000000000003</v>
      </c>
      <c r="G99" s="61"/>
      <c r="H99" s="62"/>
      <c r="I99" s="62"/>
      <c r="J99" s="62"/>
      <c r="K99" s="62"/>
      <c r="L99" s="62"/>
      <c r="M99" s="62"/>
      <c r="N99" s="62"/>
    </row>
    <row r="100" spans="1:14" s="57" customFormat="1" x14ac:dyDescent="0.25">
      <c r="B100" s="387"/>
      <c r="C100" s="388"/>
      <c r="D100" s="388"/>
      <c r="E100" s="388"/>
      <c r="F100" s="388"/>
      <c r="G100" s="389"/>
    </row>
    <row r="101" spans="1:14" x14ac:dyDescent="0.25">
      <c r="A101" s="4"/>
      <c r="B101" s="376" t="s">
        <v>658</v>
      </c>
      <c r="C101" s="377"/>
      <c r="D101" s="377"/>
      <c r="E101" s="377"/>
      <c r="F101" s="377"/>
      <c r="G101" s="378"/>
      <c r="H101" s="62"/>
      <c r="I101" s="62"/>
      <c r="J101" s="62"/>
      <c r="K101" s="62"/>
      <c r="L101" s="62"/>
      <c r="M101" s="62"/>
      <c r="N101" s="62"/>
    </row>
    <row r="102" spans="1:14" x14ac:dyDescent="0.25">
      <c r="A102" s="4"/>
      <c r="B102" s="379" t="s">
        <v>128</v>
      </c>
      <c r="C102" s="380"/>
      <c r="D102" s="380"/>
      <c r="E102" s="380"/>
      <c r="F102" s="380"/>
      <c r="G102" s="381"/>
      <c r="H102" s="62"/>
      <c r="I102" s="62"/>
      <c r="J102" s="62"/>
      <c r="K102" s="62"/>
      <c r="L102" s="62"/>
      <c r="M102" s="62"/>
      <c r="N102" s="62"/>
    </row>
    <row r="103" spans="1:14" x14ac:dyDescent="0.25">
      <c r="A103" s="4"/>
      <c r="B103" s="353"/>
      <c r="C103" s="354"/>
      <c r="D103" s="354"/>
      <c r="E103" s="354"/>
      <c r="F103" s="354"/>
      <c r="G103" s="355"/>
      <c r="H103" s="62"/>
      <c r="I103" s="62"/>
      <c r="J103" s="62"/>
      <c r="K103" s="62"/>
      <c r="L103" s="62"/>
      <c r="M103" s="62"/>
      <c r="N103" s="62"/>
    </row>
    <row r="104" spans="1:14" x14ac:dyDescent="0.25">
      <c r="A104" s="26"/>
      <c r="B104" s="12"/>
      <c r="C104" s="323"/>
      <c r="D104" s="323"/>
      <c r="E104" s="323"/>
      <c r="F104" s="323"/>
      <c r="G104" s="323"/>
      <c r="H104" s="62"/>
      <c r="I104" s="62"/>
      <c r="J104" s="26"/>
      <c r="K104" s="26"/>
      <c r="L104" s="26"/>
      <c r="M104" s="26"/>
      <c r="N104" s="26"/>
    </row>
    <row r="105" spans="1:14" x14ac:dyDescent="0.25">
      <c r="A105" s="13">
        <v>14</v>
      </c>
      <c r="B105" s="70" t="s">
        <v>99</v>
      </c>
      <c r="C105" s="324" t="s">
        <v>48</v>
      </c>
      <c r="D105" s="325"/>
      <c r="E105" s="325"/>
      <c r="F105" s="325"/>
      <c r="G105" s="326"/>
      <c r="H105" s="26"/>
      <c r="I105" s="26"/>
      <c r="J105" s="26"/>
      <c r="K105" s="26"/>
      <c r="L105" s="26"/>
      <c r="M105" s="26"/>
      <c r="N105" s="26"/>
    </row>
    <row r="106" spans="1:14" x14ac:dyDescent="0.25">
      <c r="A106" s="71"/>
      <c r="B106" s="26"/>
      <c r="C106" s="84"/>
      <c r="D106" s="84"/>
      <c r="E106" s="84"/>
      <c r="F106" s="84"/>
      <c r="G106" s="84"/>
      <c r="H106" s="26"/>
      <c r="I106" s="26"/>
      <c r="J106" s="26"/>
      <c r="K106" s="26"/>
      <c r="L106" s="26"/>
      <c r="M106" s="26"/>
      <c r="N106" s="26"/>
    </row>
    <row r="107" spans="1:14" x14ac:dyDescent="0.25">
      <c r="A107" s="26"/>
      <c r="B107" s="374" t="s">
        <v>659</v>
      </c>
      <c r="C107" s="375"/>
      <c r="D107" s="375"/>
      <c r="E107" s="375"/>
      <c r="F107" s="375"/>
      <c r="G107" s="375"/>
      <c r="H107" s="375"/>
      <c r="I107" s="26"/>
      <c r="J107" s="26"/>
      <c r="K107" s="26"/>
      <c r="L107" s="26"/>
      <c r="M107" s="26"/>
      <c r="N107" s="26"/>
    </row>
    <row r="108" spans="1:14" x14ac:dyDescent="0.25">
      <c r="A108" s="26"/>
      <c r="I108" s="26"/>
      <c r="J108" s="26"/>
      <c r="K108" s="26"/>
      <c r="L108" s="26"/>
      <c r="M108" s="26"/>
      <c r="N108" s="26"/>
    </row>
    <row r="109" spans="1:14" x14ac:dyDescent="0.25">
      <c r="A109" s="26"/>
      <c r="J109" s="26"/>
      <c r="K109" s="26"/>
      <c r="L109" s="26"/>
      <c r="M109" s="26"/>
      <c r="N109" s="26"/>
    </row>
    <row r="114" spans="4:5" x14ac:dyDescent="0.25">
      <c r="D114" s="127"/>
      <c r="E114" s="127"/>
    </row>
    <row r="115" spans="4:5" x14ac:dyDescent="0.25">
      <c r="E115" s="127"/>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4"/>
    <mergeCell ref="B85:B89"/>
    <mergeCell ref="B107:H107"/>
    <mergeCell ref="B100:G100"/>
    <mergeCell ref="B101:G101"/>
    <mergeCell ref="B102:G102"/>
    <mergeCell ref="B103:G103"/>
    <mergeCell ref="C104:G104"/>
    <mergeCell ref="C105:G105"/>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opLeftCell="B32" zoomScale="90" zoomScaleNormal="90" workbookViewId="0">
      <selection activeCell="C50" sqref="C50"/>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6" width="19.85546875" style="73" customWidth="1"/>
    <col min="7" max="7" width="22.28515625" style="73" customWidth="1"/>
    <col min="8" max="8" width="8.85546875" style="73"/>
    <col min="9" max="9" width="16.28515625" style="73" customWidth="1"/>
    <col min="10" max="10" width="17.28515625" style="73" customWidth="1"/>
    <col min="11" max="11" width="11.5703125" style="73" customWidth="1"/>
    <col min="12" max="12" width="13.42578125" style="73" customWidth="1"/>
    <col min="13" max="13" width="14.140625" style="73" customWidth="1"/>
    <col min="14" max="14" width="14.85546875" style="73" customWidth="1"/>
    <col min="15"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203" t="s">
        <v>660</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259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661</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231" t="s">
        <v>662</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228" t="s">
        <v>15</v>
      </c>
      <c r="C18" s="373" t="s">
        <v>16</v>
      </c>
      <c r="D18" s="373"/>
      <c r="E18" s="373"/>
      <c r="F18" s="19"/>
      <c r="G18" s="17"/>
      <c r="H18" s="17"/>
      <c r="I18" s="17"/>
      <c r="J18" s="17"/>
      <c r="K18" s="17"/>
      <c r="L18" s="17"/>
      <c r="M18" s="17"/>
      <c r="N18" s="17"/>
    </row>
    <row r="19" spans="1:14" ht="25.5" x14ac:dyDescent="0.25">
      <c r="A19" s="13"/>
      <c r="B19" s="228" t="s">
        <v>663</v>
      </c>
      <c r="C19" s="430" t="s">
        <v>16</v>
      </c>
      <c r="D19" s="431"/>
      <c r="E19" s="432"/>
      <c r="F19" s="19"/>
      <c r="G19" s="17"/>
      <c r="I19" s="17"/>
      <c r="J19" s="17"/>
      <c r="K19" s="17"/>
      <c r="L19" s="17"/>
      <c r="M19" s="17"/>
      <c r="N19" s="17"/>
    </row>
    <row r="20" spans="1:14" x14ac:dyDescent="0.25">
      <c r="A20" s="13"/>
      <c r="B20" s="228" t="s">
        <v>664</v>
      </c>
      <c r="C20" s="430" t="s">
        <v>16</v>
      </c>
      <c r="D20" s="431"/>
      <c r="E20" s="432"/>
      <c r="F20" s="19"/>
      <c r="G20" s="17"/>
      <c r="H20" s="17"/>
      <c r="I20" s="17"/>
      <c r="J20" s="17"/>
      <c r="K20" s="17"/>
      <c r="L20" s="17"/>
      <c r="M20" s="17"/>
      <c r="N20" s="17"/>
    </row>
    <row r="21" spans="1:14" x14ac:dyDescent="0.25">
      <c r="A21" s="13"/>
      <c r="B21" s="228" t="s">
        <v>19</v>
      </c>
      <c r="C21" s="373">
        <v>5.9999999999999995E-4</v>
      </c>
      <c r="D21" s="363"/>
      <c r="E21" s="363"/>
      <c r="F21" s="19"/>
      <c r="G21" s="17"/>
      <c r="H21" s="17"/>
      <c r="I21" s="17"/>
      <c r="J21" s="17"/>
      <c r="K21" s="17"/>
      <c r="L21" s="17"/>
      <c r="M21" s="17"/>
      <c r="N21" s="17"/>
    </row>
    <row r="22" spans="1:14" x14ac:dyDescent="0.25">
      <c r="A22" s="13"/>
      <c r="B22" s="20" t="s">
        <v>20</v>
      </c>
      <c r="C22" s="373">
        <v>5.9999999999999995E-4</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325</v>
      </c>
      <c r="E28" s="226" t="s">
        <v>27</v>
      </c>
      <c r="F28" s="19"/>
      <c r="G28" s="26"/>
      <c r="H28" s="26"/>
      <c r="I28" s="26"/>
      <c r="J28" s="26"/>
      <c r="K28" s="26"/>
      <c r="L28" s="26"/>
      <c r="M28" s="26"/>
      <c r="N28" s="26"/>
    </row>
    <row r="29" spans="1:14" ht="12.75" customHeight="1" x14ac:dyDescent="0.25">
      <c r="A29" s="13"/>
      <c r="B29" s="230" t="s">
        <v>28</v>
      </c>
      <c r="C29" s="232">
        <v>5611.19</v>
      </c>
      <c r="D29" s="232">
        <v>4873.7700000000004</v>
      </c>
      <c r="E29" s="255">
        <v>5976</v>
      </c>
      <c r="F29" s="19"/>
      <c r="G29" s="26"/>
      <c r="H29" s="26"/>
      <c r="I29" s="26"/>
      <c r="J29" s="26"/>
      <c r="K29" s="26"/>
      <c r="L29" s="26"/>
      <c r="M29" s="26"/>
      <c r="N29" s="26"/>
    </row>
    <row r="30" spans="1:14" x14ac:dyDescent="0.25">
      <c r="A30" s="13"/>
      <c r="B30" s="230" t="s">
        <v>29</v>
      </c>
      <c r="C30" s="232">
        <v>768.29</v>
      </c>
      <c r="D30" s="232">
        <v>106.18</v>
      </c>
      <c r="E30" s="256">
        <v>264</v>
      </c>
      <c r="F30" s="19"/>
      <c r="G30" s="26"/>
      <c r="H30" s="26"/>
      <c r="I30" s="26"/>
      <c r="J30" s="26"/>
      <c r="K30" s="26"/>
      <c r="L30" s="26"/>
      <c r="M30" s="26"/>
      <c r="N30" s="26"/>
    </row>
    <row r="31" spans="1:14" x14ac:dyDescent="0.25">
      <c r="A31" s="13"/>
      <c r="B31" s="230" t="s">
        <v>30</v>
      </c>
      <c r="C31" s="232">
        <v>1429.6</v>
      </c>
      <c r="D31" s="232">
        <v>1429.6</v>
      </c>
      <c r="E31" s="251">
        <v>1429.6</v>
      </c>
      <c r="F31" s="19"/>
      <c r="G31" s="26"/>
      <c r="H31" s="26"/>
      <c r="I31" s="26"/>
      <c r="J31" s="26"/>
      <c r="K31" s="26"/>
      <c r="L31" s="26"/>
      <c r="M31" s="26"/>
      <c r="N31" s="26"/>
    </row>
    <row r="32" spans="1:14" x14ac:dyDescent="0.25">
      <c r="A32" s="13"/>
      <c r="B32" s="230" t="s">
        <v>31</v>
      </c>
      <c r="C32" s="232">
        <v>3034.19</v>
      </c>
      <c r="D32" s="232">
        <v>3128.75</v>
      </c>
      <c r="E32" s="257">
        <v>3393</v>
      </c>
      <c r="F32" s="19"/>
      <c r="G32" s="26"/>
      <c r="H32" s="26"/>
      <c r="I32" s="26"/>
      <c r="J32" s="26"/>
      <c r="K32" s="26"/>
      <c r="L32" s="26"/>
      <c r="M32" s="26"/>
      <c r="N32" s="26"/>
    </row>
    <row r="33" spans="1:14" x14ac:dyDescent="0.25">
      <c r="A33" s="13"/>
      <c r="B33" s="353"/>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51" t="s">
        <v>245</v>
      </c>
      <c r="D38" s="17"/>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16</v>
      </c>
      <c r="D43" s="351"/>
      <c r="E43" s="352"/>
      <c r="F43" s="17"/>
      <c r="G43" s="26"/>
      <c r="H43" s="26"/>
      <c r="I43" s="26"/>
      <c r="J43" s="26"/>
      <c r="K43" s="26"/>
      <c r="L43" s="26"/>
      <c r="M43" s="26"/>
      <c r="N43" s="26"/>
    </row>
    <row r="44" spans="1:14" x14ac:dyDescent="0.25">
      <c r="A44" s="13"/>
      <c r="B44" s="227" t="s">
        <v>36</v>
      </c>
      <c r="C44" s="350" t="s">
        <v>16</v>
      </c>
      <c r="D44" s="351"/>
      <c r="E44" s="352"/>
      <c r="F44" s="17"/>
      <c r="G44" s="26"/>
      <c r="H44" s="26"/>
      <c r="I44" s="26"/>
      <c r="J44" s="26"/>
      <c r="K44" s="26"/>
      <c r="L44" s="26"/>
      <c r="M44" s="26"/>
      <c r="N44" s="26"/>
    </row>
    <row r="45" spans="1:14" x14ac:dyDescent="0.25">
      <c r="A45" s="13"/>
      <c r="B45" s="227" t="s">
        <v>37</v>
      </c>
      <c r="C45" s="367" t="s">
        <v>880</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225" t="s">
        <v>42</v>
      </c>
      <c r="C49" s="32" t="s">
        <v>43</v>
      </c>
      <c r="D49" s="33" t="s">
        <v>44</v>
      </c>
      <c r="E49" s="32" t="s">
        <v>268</v>
      </c>
      <c r="F49" s="26"/>
      <c r="G49" s="26"/>
      <c r="H49" s="26"/>
      <c r="I49" s="26"/>
      <c r="J49" s="26"/>
      <c r="K49" s="26"/>
      <c r="L49" s="26"/>
      <c r="M49" s="26"/>
    </row>
    <row r="50" spans="1:14" ht="63.75" x14ac:dyDescent="0.25">
      <c r="A50" s="34"/>
      <c r="B50" s="94" t="s">
        <v>369</v>
      </c>
      <c r="C50" s="94" t="s">
        <v>665</v>
      </c>
      <c r="D50" s="33"/>
      <c r="E50" s="32"/>
      <c r="F50" s="26"/>
      <c r="G50" s="26"/>
      <c r="H50" s="26"/>
      <c r="I50" s="26"/>
      <c r="J50" s="26"/>
      <c r="K50" s="26"/>
      <c r="L50" s="26"/>
      <c r="M50" s="26"/>
    </row>
    <row r="51" spans="1:14" x14ac:dyDescent="0.25">
      <c r="A51" s="36"/>
      <c r="B51" s="345" t="s">
        <v>666</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ht="24.75" customHeight="1" x14ac:dyDescent="0.25">
      <c r="A53" s="29">
        <v>10</v>
      </c>
      <c r="B53" s="340" t="s">
        <v>41</v>
      </c>
      <c r="C53" s="333"/>
      <c r="D53" s="333"/>
      <c r="E53" s="333"/>
      <c r="F53" s="19"/>
      <c r="G53" s="19"/>
      <c r="H53" s="19"/>
      <c r="I53" s="26"/>
      <c r="J53" s="26"/>
      <c r="K53" s="26"/>
      <c r="L53" s="26"/>
      <c r="M53" s="26"/>
    </row>
    <row r="54" spans="1:14" ht="34.5" customHeight="1" x14ac:dyDescent="0.25">
      <c r="A54" s="34"/>
      <c r="B54" s="357" t="s">
        <v>50</v>
      </c>
      <c r="C54" s="394" t="s">
        <v>667</v>
      </c>
      <c r="D54" s="395"/>
      <c r="E54" s="396"/>
      <c r="F54" s="26"/>
      <c r="G54" s="26"/>
      <c r="H54" s="26"/>
      <c r="I54" s="26"/>
      <c r="J54" s="26"/>
      <c r="K54" s="2"/>
      <c r="L54" s="26"/>
      <c r="M54" s="26"/>
    </row>
    <row r="55" spans="1:14" ht="18.75" customHeight="1"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668</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1" t="s">
        <v>62</v>
      </c>
      <c r="C65" s="23" t="s">
        <v>669</v>
      </c>
      <c r="D65" s="19"/>
      <c r="E65" s="150">
        <v>43230</v>
      </c>
      <c r="F65" s="52">
        <f>E65+89</f>
        <v>43319</v>
      </c>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670</v>
      </c>
      <c r="D67" s="372" t="s">
        <v>333</v>
      </c>
      <c r="E67" s="336" t="s">
        <v>294</v>
      </c>
      <c r="F67" s="327" t="s">
        <v>930</v>
      </c>
      <c r="G67" s="328"/>
      <c r="H67" s="329"/>
      <c r="I67" s="330" t="s">
        <v>931</v>
      </c>
      <c r="J67" s="330"/>
      <c r="K67" s="330"/>
      <c r="L67" s="330" t="s">
        <v>932</v>
      </c>
      <c r="M67" s="330"/>
      <c r="N67" s="330"/>
    </row>
    <row r="68" spans="1:14"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4" x14ac:dyDescent="0.25">
      <c r="A69" s="4"/>
      <c r="B69" s="227" t="s">
        <v>75</v>
      </c>
      <c r="C69" s="53">
        <v>56.05</v>
      </c>
      <c r="D69" s="54">
        <v>53.9</v>
      </c>
      <c r="E69" s="54">
        <v>50</v>
      </c>
      <c r="F69" s="54">
        <v>30.7</v>
      </c>
      <c r="G69" s="54">
        <v>58.85</v>
      </c>
      <c r="H69" s="54">
        <v>28.5</v>
      </c>
      <c r="I69" s="53">
        <v>15.05</v>
      </c>
      <c r="J69" s="53">
        <v>45</v>
      </c>
      <c r="K69" s="53">
        <v>15.05</v>
      </c>
      <c r="L69" s="53">
        <v>29.7</v>
      </c>
      <c r="M69" s="53">
        <v>29.7</v>
      </c>
      <c r="N69" s="53">
        <v>29.7</v>
      </c>
    </row>
    <row r="70" spans="1:14" ht="25.5" x14ac:dyDescent="0.25">
      <c r="A70" s="4"/>
      <c r="B70" s="227" t="s">
        <v>278</v>
      </c>
      <c r="C70" s="53">
        <v>30248.17</v>
      </c>
      <c r="D70" s="53">
        <v>31262.06</v>
      </c>
      <c r="E70" s="54">
        <v>37586.879999999997</v>
      </c>
      <c r="F70" s="53">
        <v>38672.910000000003</v>
      </c>
      <c r="G70" s="53">
        <v>38989.65</v>
      </c>
      <c r="H70" s="53">
        <v>32972.559999999998</v>
      </c>
      <c r="I70" s="53">
        <v>29468.49</v>
      </c>
      <c r="J70" s="53">
        <v>42273.87</v>
      </c>
      <c r="K70" s="53">
        <v>25638.9</v>
      </c>
      <c r="L70" s="53">
        <v>49509.15</v>
      </c>
      <c r="M70" s="53">
        <v>52516.76</v>
      </c>
      <c r="N70" s="53">
        <v>27500.79</v>
      </c>
    </row>
    <row r="71" spans="1:14" ht="13.5" x14ac:dyDescent="0.25">
      <c r="A71" s="4"/>
      <c r="B71" s="383" t="s">
        <v>21</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t="s">
        <v>750</v>
      </c>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59" t="s">
        <v>84</v>
      </c>
      <c r="C79" s="22" t="s">
        <v>85</v>
      </c>
      <c r="D79" s="22" t="s">
        <v>86</v>
      </c>
      <c r="E79" s="22" t="s">
        <v>280</v>
      </c>
      <c r="F79" s="22" t="s">
        <v>88</v>
      </c>
      <c r="G79" s="22" t="s">
        <v>169</v>
      </c>
      <c r="H79" s="17"/>
      <c r="I79" s="17"/>
      <c r="J79" s="17"/>
      <c r="K79" s="17"/>
      <c r="L79" s="17"/>
      <c r="M79" s="17"/>
      <c r="N79" s="17"/>
    </row>
    <row r="80" spans="1:14" ht="12.75" customHeight="1" x14ac:dyDescent="0.2">
      <c r="A80" s="4"/>
      <c r="B80" s="316" t="s">
        <v>90</v>
      </c>
      <c r="C80" s="5" t="s">
        <v>671</v>
      </c>
      <c r="D80" s="91">
        <v>3.1</v>
      </c>
      <c r="E80" s="232">
        <v>5.55</v>
      </c>
      <c r="F80" s="61">
        <v>0.74</v>
      </c>
      <c r="G80" s="61">
        <v>1.85</v>
      </c>
      <c r="H80" s="62"/>
      <c r="I80" s="62"/>
      <c r="J80" s="62"/>
      <c r="K80" s="62"/>
      <c r="L80" s="62"/>
      <c r="M80" s="62"/>
      <c r="N80" s="62"/>
    </row>
    <row r="81" spans="1:14" x14ac:dyDescent="0.25">
      <c r="A81" s="4"/>
      <c r="B81" s="316"/>
      <c r="C81" s="5" t="s">
        <v>92</v>
      </c>
      <c r="D81" s="229"/>
      <c r="E81" s="232"/>
      <c r="F81" s="61"/>
      <c r="G81" s="80"/>
      <c r="H81" s="62"/>
      <c r="I81" s="62"/>
      <c r="J81" s="62"/>
      <c r="K81" s="62"/>
      <c r="L81" s="62"/>
      <c r="M81" s="62"/>
      <c r="N81" s="62"/>
    </row>
    <row r="82" spans="1:14" x14ac:dyDescent="0.25">
      <c r="A82" s="4"/>
      <c r="B82" s="316"/>
      <c r="C82" s="25" t="s">
        <v>672</v>
      </c>
      <c r="D82" s="229">
        <v>0.35</v>
      </c>
      <c r="E82" s="232">
        <v>2.38</v>
      </c>
      <c r="F82" s="61">
        <v>6.58</v>
      </c>
      <c r="G82" s="61">
        <v>6.72</v>
      </c>
      <c r="H82" s="62"/>
      <c r="I82" s="62"/>
      <c r="J82" s="62"/>
      <c r="K82" s="62"/>
      <c r="L82" s="62"/>
      <c r="M82" s="62"/>
      <c r="N82" s="62"/>
    </row>
    <row r="83" spans="1:14" ht="13.5" customHeight="1" x14ac:dyDescent="0.25">
      <c r="A83" s="4"/>
      <c r="B83" s="316"/>
      <c r="C83" s="25" t="s">
        <v>673</v>
      </c>
      <c r="D83" s="229">
        <v>3.66</v>
      </c>
      <c r="E83" s="232">
        <v>2.59</v>
      </c>
      <c r="F83" s="61">
        <v>1.48</v>
      </c>
      <c r="G83" s="61">
        <v>-1.34</v>
      </c>
      <c r="H83" s="62"/>
      <c r="I83" s="62"/>
      <c r="J83" s="62"/>
      <c r="K83" s="62"/>
      <c r="L83" s="62"/>
      <c r="M83" s="62"/>
      <c r="N83" s="62"/>
    </row>
    <row r="84" spans="1:14" x14ac:dyDescent="0.25">
      <c r="A84" s="4"/>
      <c r="B84" s="316"/>
      <c r="C84" s="5" t="s">
        <v>93</v>
      </c>
      <c r="D84" s="186">
        <f>SUM(D82:D83)/2</f>
        <v>2.0049999999999999</v>
      </c>
      <c r="E84" s="186">
        <f>SUM(E82:E83)/2</f>
        <v>2.4849999999999999</v>
      </c>
      <c r="F84" s="186">
        <f>SUM(F82:F83)/2</f>
        <v>4.03</v>
      </c>
      <c r="G84" s="186">
        <f>SUM(G82:G83)/2</f>
        <v>2.69</v>
      </c>
      <c r="H84" s="62"/>
      <c r="I84" s="62"/>
      <c r="J84" s="62"/>
      <c r="K84" s="62"/>
      <c r="L84" s="62"/>
      <c r="M84" s="62"/>
      <c r="N84" s="62"/>
    </row>
    <row r="85" spans="1:14" x14ac:dyDescent="0.2">
      <c r="A85" s="4"/>
      <c r="B85" s="316" t="s">
        <v>94</v>
      </c>
      <c r="C85" s="5" t="s">
        <v>671</v>
      </c>
      <c r="D85" s="93">
        <v>17.420000000000002</v>
      </c>
      <c r="E85" s="235">
        <f>F69/E80</f>
        <v>5.5315315315315319</v>
      </c>
      <c r="F85" s="254">
        <f>I69/F80</f>
        <v>20.337837837837839</v>
      </c>
      <c r="G85" s="270">
        <f>L69/G80</f>
        <v>16.054054054054053</v>
      </c>
      <c r="H85" s="62"/>
      <c r="I85" s="62"/>
      <c r="J85" s="62"/>
      <c r="K85" s="62"/>
      <c r="L85" s="62"/>
      <c r="M85" s="62"/>
      <c r="N85" s="62"/>
    </row>
    <row r="86" spans="1:14" x14ac:dyDescent="0.25">
      <c r="A86" s="4"/>
      <c r="B86" s="316"/>
      <c r="C86" s="5" t="s">
        <v>92</v>
      </c>
      <c r="D86" s="229"/>
      <c r="E86" s="232"/>
      <c r="F86" s="61"/>
      <c r="G86" s="80"/>
      <c r="H86" s="62"/>
      <c r="I86" s="62"/>
      <c r="J86" s="62"/>
      <c r="K86" s="62"/>
      <c r="L86" s="62"/>
      <c r="M86" s="62"/>
      <c r="N86" s="62"/>
    </row>
    <row r="87" spans="1:14" x14ac:dyDescent="0.25">
      <c r="A87" s="4"/>
      <c r="B87" s="316"/>
      <c r="C87" s="25" t="s">
        <v>672</v>
      </c>
      <c r="D87" s="229">
        <v>87.43</v>
      </c>
      <c r="E87" s="232">
        <v>10.71</v>
      </c>
      <c r="F87" s="64">
        <f>27.55/F82</f>
        <v>4.1869300911854106</v>
      </c>
      <c r="G87" s="64">
        <f>34/G82</f>
        <v>5.0595238095238093</v>
      </c>
      <c r="H87" s="62"/>
      <c r="I87" s="62"/>
      <c r="J87" s="62"/>
      <c r="K87" s="62"/>
      <c r="L87" s="62"/>
      <c r="M87" s="62"/>
      <c r="N87" s="62"/>
    </row>
    <row r="88" spans="1:14" ht="12.75" customHeight="1" x14ac:dyDescent="0.25">
      <c r="A88" s="4"/>
      <c r="B88" s="316"/>
      <c r="C88" s="25" t="s">
        <v>673</v>
      </c>
      <c r="D88" s="229">
        <v>16.39</v>
      </c>
      <c r="E88" s="232">
        <v>19.29</v>
      </c>
      <c r="F88" s="270">
        <f>39.85/F83</f>
        <v>26.925675675675677</v>
      </c>
      <c r="G88" s="295">
        <v>0</v>
      </c>
      <c r="H88" s="62"/>
      <c r="I88" s="62"/>
      <c r="J88" s="62"/>
      <c r="K88" s="62"/>
      <c r="L88" s="62"/>
      <c r="M88" s="62"/>
      <c r="N88" s="62"/>
    </row>
    <row r="89" spans="1:14" x14ac:dyDescent="0.25">
      <c r="A89" s="4"/>
      <c r="B89" s="316"/>
      <c r="C89" s="5" t="s">
        <v>93</v>
      </c>
      <c r="D89" s="186">
        <f>SUM(D87:D88)/2</f>
        <v>51.910000000000004</v>
      </c>
      <c r="E89" s="186">
        <f>SUM(E87:E88)/2</f>
        <v>15</v>
      </c>
      <c r="F89" s="186">
        <f>SUM(F87:F88)/2</f>
        <v>15.556302883430543</v>
      </c>
      <c r="G89" s="186">
        <f>SUM(G87:G88)/2</f>
        <v>2.5297619047619047</v>
      </c>
      <c r="H89" s="62"/>
      <c r="I89" s="62"/>
      <c r="J89" s="62"/>
      <c r="K89" s="62"/>
      <c r="L89" s="62"/>
      <c r="M89" s="62"/>
      <c r="N89" s="62"/>
    </row>
    <row r="90" spans="1:14" x14ac:dyDescent="0.2">
      <c r="A90" s="4"/>
      <c r="B90" s="316" t="s">
        <v>95</v>
      </c>
      <c r="C90" s="5" t="s">
        <v>671</v>
      </c>
      <c r="D90" s="91">
        <v>35.479999999999997</v>
      </c>
      <c r="E90" s="235">
        <f>768.29/4463.79*100</f>
        <v>17.21160717686092</v>
      </c>
      <c r="F90" s="61">
        <v>2.33</v>
      </c>
      <c r="G90" s="61">
        <v>5.47</v>
      </c>
      <c r="H90" s="62"/>
      <c r="I90" s="62"/>
      <c r="J90" s="62"/>
      <c r="K90" s="62"/>
      <c r="L90" s="62"/>
      <c r="M90" s="62"/>
      <c r="N90" s="62"/>
    </row>
    <row r="91" spans="1:14" x14ac:dyDescent="0.25">
      <c r="A91" s="4"/>
      <c r="B91" s="316"/>
      <c r="C91" s="5" t="s">
        <v>92</v>
      </c>
      <c r="D91" s="229"/>
      <c r="E91" s="232"/>
      <c r="F91" s="61"/>
      <c r="G91" s="61"/>
      <c r="H91" s="62"/>
      <c r="I91" s="62"/>
      <c r="J91" s="62"/>
      <c r="K91" s="62"/>
      <c r="L91" s="62"/>
      <c r="M91" s="62"/>
      <c r="N91" s="62"/>
    </row>
    <row r="92" spans="1:14" x14ac:dyDescent="0.25">
      <c r="A92" s="4"/>
      <c r="B92" s="316"/>
      <c r="C92" s="25" t="s">
        <v>672</v>
      </c>
      <c r="D92" s="229">
        <v>0.54</v>
      </c>
      <c r="E92" s="232">
        <v>3.93</v>
      </c>
      <c r="F92" s="61">
        <v>9.1</v>
      </c>
      <c r="G92" s="61">
        <v>8.35</v>
      </c>
      <c r="H92" s="62"/>
      <c r="I92" s="62"/>
      <c r="J92" s="62"/>
      <c r="K92" s="62"/>
      <c r="L92" s="62"/>
      <c r="M92" s="62"/>
      <c r="N92" s="62"/>
    </row>
    <row r="93" spans="1:14" ht="25.5" x14ac:dyDescent="0.25">
      <c r="A93" s="4"/>
      <c r="B93" s="316"/>
      <c r="C93" s="25" t="s">
        <v>673</v>
      </c>
      <c r="D93" s="229">
        <v>4.8</v>
      </c>
      <c r="E93" s="232">
        <v>3.32</v>
      </c>
      <c r="F93" s="61">
        <v>2.0299999999999998</v>
      </c>
      <c r="G93" s="61">
        <v>-1.98</v>
      </c>
      <c r="H93" s="62"/>
      <c r="I93" s="62"/>
      <c r="J93" s="62"/>
      <c r="K93" s="62"/>
      <c r="L93" s="62"/>
      <c r="M93" s="62"/>
      <c r="N93" s="62"/>
    </row>
    <row r="94" spans="1:14" x14ac:dyDescent="0.25">
      <c r="A94" s="4"/>
      <c r="B94" s="316"/>
      <c r="C94" s="5" t="s">
        <v>93</v>
      </c>
      <c r="D94" s="186">
        <f>SUM(D92:D93)/2</f>
        <v>2.67</v>
      </c>
      <c r="E94" s="186">
        <f>SUM(E92:E93)/2</f>
        <v>3.625</v>
      </c>
      <c r="F94" s="186">
        <f>SUM(F92:F93)/2</f>
        <v>5.5649999999999995</v>
      </c>
      <c r="G94" s="186">
        <f>SUM(G92:G93)/2</f>
        <v>3.1849999999999996</v>
      </c>
      <c r="H94" s="62"/>
      <c r="I94" s="62"/>
      <c r="J94" s="62"/>
      <c r="K94" s="66"/>
      <c r="L94" s="62"/>
      <c r="M94" s="62"/>
      <c r="N94" s="62"/>
    </row>
    <row r="95" spans="1:14" x14ac:dyDescent="0.2">
      <c r="A95" s="4"/>
      <c r="B95" s="316" t="s">
        <v>96</v>
      </c>
      <c r="C95" s="5" t="s">
        <v>671</v>
      </c>
      <c r="D95" s="91">
        <v>228.54</v>
      </c>
      <c r="E95" s="235">
        <f>4463.79*100000/14296000</f>
        <v>31.224048684946837</v>
      </c>
      <c r="F95" s="61">
        <v>31.83</v>
      </c>
      <c r="G95" s="61">
        <v>33.74</v>
      </c>
      <c r="H95" s="62"/>
      <c r="I95" s="62"/>
      <c r="J95" s="62"/>
      <c r="K95" s="62"/>
      <c r="L95" s="62"/>
      <c r="M95" s="62"/>
      <c r="N95" s="62"/>
    </row>
    <row r="96" spans="1:14" x14ac:dyDescent="0.25">
      <c r="A96" s="4"/>
      <c r="B96" s="316"/>
      <c r="C96" s="5" t="s">
        <v>92</v>
      </c>
      <c r="D96" s="229"/>
      <c r="E96" s="232"/>
      <c r="F96" s="61"/>
      <c r="G96" s="61"/>
      <c r="H96" s="62"/>
      <c r="I96" s="62"/>
      <c r="J96" s="62"/>
      <c r="K96" s="62"/>
      <c r="L96" s="62"/>
      <c r="M96" s="62"/>
      <c r="N96" s="62"/>
    </row>
    <row r="97" spans="1:14" x14ac:dyDescent="0.25">
      <c r="A97" s="4"/>
      <c r="B97" s="386"/>
      <c r="C97" s="25" t="s">
        <v>672</v>
      </c>
      <c r="D97" s="229">
        <v>64.17</v>
      </c>
      <c r="E97" s="232">
        <v>60.95</v>
      </c>
      <c r="F97" s="61">
        <v>66.03</v>
      </c>
      <c r="G97" s="61">
        <v>64.599999999999994</v>
      </c>
      <c r="H97" s="62"/>
      <c r="I97" s="62"/>
      <c r="J97" s="62"/>
      <c r="K97" s="62"/>
      <c r="L97" s="62"/>
      <c r="M97" s="62"/>
      <c r="N97" s="62"/>
    </row>
    <row r="98" spans="1:14" ht="25.5" x14ac:dyDescent="0.25">
      <c r="A98" s="4"/>
      <c r="B98" s="386"/>
      <c r="C98" s="25" t="s">
        <v>673</v>
      </c>
      <c r="D98" s="229">
        <v>76.13</v>
      </c>
      <c r="E98" s="232">
        <v>78.099999999999994</v>
      </c>
      <c r="F98" s="61">
        <v>70.239999999999995</v>
      </c>
      <c r="G98" s="61">
        <v>67.760000000000005</v>
      </c>
      <c r="H98" s="62"/>
      <c r="I98" s="62"/>
      <c r="J98" s="62"/>
      <c r="K98" s="62"/>
      <c r="L98" s="62"/>
      <c r="M98" s="62"/>
      <c r="N98" s="62"/>
    </row>
    <row r="99" spans="1:14" x14ac:dyDescent="0.25">
      <c r="A99" s="4"/>
      <c r="B99" s="386"/>
      <c r="C99" s="5" t="s">
        <v>93</v>
      </c>
      <c r="D99" s="186">
        <f>SUM(D97:D98)/2</f>
        <v>70.150000000000006</v>
      </c>
      <c r="E99" s="186">
        <f>SUM(E97:E98)/2</f>
        <v>69.525000000000006</v>
      </c>
      <c r="F99" s="186">
        <f t="shared" ref="F99:G99" si="0">SUM(F97:F98)/2</f>
        <v>68.134999999999991</v>
      </c>
      <c r="G99" s="186">
        <f t="shared" si="0"/>
        <v>66.180000000000007</v>
      </c>
      <c r="H99" s="62"/>
      <c r="I99" s="62"/>
      <c r="J99" s="62"/>
      <c r="K99" s="62"/>
      <c r="L99" s="62"/>
      <c r="M99" s="62"/>
      <c r="N99" s="62"/>
    </row>
    <row r="100" spans="1:14" s="57" customFormat="1" x14ac:dyDescent="0.25">
      <c r="B100" s="387"/>
      <c r="C100" s="388"/>
      <c r="D100" s="388"/>
      <c r="E100" s="388"/>
      <c r="F100" s="388"/>
      <c r="G100" s="389"/>
    </row>
    <row r="101" spans="1:14" x14ac:dyDescent="0.25">
      <c r="A101" s="4"/>
      <c r="B101" s="376" t="s">
        <v>674</v>
      </c>
      <c r="C101" s="377"/>
      <c r="D101" s="377"/>
      <c r="E101" s="377"/>
      <c r="F101" s="377"/>
      <c r="G101" s="378"/>
      <c r="H101" s="62"/>
      <c r="I101" s="62"/>
      <c r="J101" s="62"/>
      <c r="K101" s="62"/>
      <c r="L101" s="62"/>
      <c r="M101" s="62"/>
      <c r="N101" s="62"/>
    </row>
    <row r="102" spans="1:14" x14ac:dyDescent="0.25">
      <c r="A102" s="4"/>
      <c r="B102" s="379" t="s">
        <v>128</v>
      </c>
      <c r="C102" s="380"/>
      <c r="D102" s="380"/>
      <c r="E102" s="380"/>
      <c r="F102" s="380"/>
      <c r="G102" s="381"/>
      <c r="H102" s="62"/>
      <c r="I102" s="62"/>
      <c r="J102" s="62"/>
      <c r="K102" s="62"/>
      <c r="L102" s="62"/>
      <c r="M102" s="62"/>
      <c r="N102" s="62"/>
    </row>
    <row r="103" spans="1:14" x14ac:dyDescent="0.25">
      <c r="A103" s="4"/>
      <c r="B103" s="353"/>
      <c r="C103" s="354"/>
      <c r="D103" s="354"/>
      <c r="E103" s="354"/>
      <c r="F103" s="354"/>
      <c r="G103" s="355"/>
      <c r="H103" s="62"/>
      <c r="I103" s="62"/>
      <c r="J103" s="62"/>
      <c r="K103" s="62"/>
      <c r="L103" s="62"/>
      <c r="M103" s="62"/>
      <c r="N103" s="62"/>
    </row>
    <row r="104" spans="1:14" x14ac:dyDescent="0.25">
      <c r="A104" s="26"/>
      <c r="B104" s="12"/>
      <c r="C104" s="323"/>
      <c r="D104" s="323"/>
      <c r="E104" s="323"/>
      <c r="F104" s="323"/>
      <c r="G104" s="323"/>
      <c r="H104" s="62"/>
      <c r="I104" s="62"/>
      <c r="J104" s="26"/>
      <c r="K104" s="26"/>
      <c r="L104" s="26"/>
      <c r="M104" s="26"/>
      <c r="N104" s="26"/>
    </row>
    <row r="105" spans="1:14" x14ac:dyDescent="0.25">
      <c r="A105" s="13">
        <v>14</v>
      </c>
      <c r="B105" s="70" t="s">
        <v>99</v>
      </c>
      <c r="C105" s="324" t="s">
        <v>48</v>
      </c>
      <c r="D105" s="325"/>
      <c r="E105" s="325"/>
      <c r="F105" s="325"/>
      <c r="G105" s="326"/>
      <c r="H105" s="26"/>
      <c r="I105" s="26"/>
      <c r="J105" s="26"/>
      <c r="K105" s="26"/>
      <c r="L105" s="26"/>
      <c r="M105" s="26"/>
      <c r="N105" s="26"/>
    </row>
    <row r="106" spans="1:14" x14ac:dyDescent="0.25">
      <c r="A106" s="71"/>
      <c r="B106" s="26"/>
      <c r="C106" s="84"/>
      <c r="D106" s="84"/>
      <c r="E106" s="84"/>
      <c r="F106" s="84"/>
      <c r="G106" s="84"/>
      <c r="H106" s="26"/>
      <c r="I106" s="26"/>
      <c r="J106" s="26"/>
      <c r="K106" s="26"/>
      <c r="L106" s="26"/>
      <c r="M106" s="26"/>
      <c r="N106" s="26"/>
    </row>
    <row r="107" spans="1:14" ht="12.75" customHeight="1" x14ac:dyDescent="0.25">
      <c r="A107" s="26"/>
      <c r="B107" s="26"/>
      <c r="C107" s="84"/>
      <c r="D107" s="84"/>
      <c r="E107" s="84"/>
      <c r="F107" s="84"/>
      <c r="G107" s="84"/>
      <c r="H107" s="26"/>
      <c r="I107" s="26"/>
      <c r="J107" s="26"/>
      <c r="K107" s="26"/>
      <c r="L107" s="26"/>
      <c r="M107" s="26"/>
      <c r="N107" s="26"/>
    </row>
    <row r="108" spans="1:14" x14ac:dyDescent="0.25">
      <c r="A108" s="26"/>
      <c r="I108" s="26"/>
      <c r="J108" s="26"/>
      <c r="K108" s="26"/>
      <c r="L108" s="26"/>
      <c r="M108" s="26"/>
      <c r="N108" s="26"/>
    </row>
    <row r="109" spans="1:14" x14ac:dyDescent="0.25">
      <c r="A109" s="26"/>
      <c r="B109" s="374" t="s">
        <v>675</v>
      </c>
      <c r="C109" s="375"/>
      <c r="D109" s="375"/>
      <c r="E109" s="375"/>
      <c r="F109" s="375"/>
      <c r="G109" s="375"/>
      <c r="H109" s="375"/>
      <c r="J109" s="26"/>
      <c r="K109" s="26"/>
      <c r="L109" s="26"/>
      <c r="M109" s="26"/>
      <c r="N109" s="26"/>
    </row>
    <row r="114" spans="4:5" x14ac:dyDescent="0.25">
      <c r="D114" s="127"/>
      <c r="E114" s="127"/>
    </row>
    <row r="115" spans="4:5" x14ac:dyDescent="0.25">
      <c r="E115" s="127"/>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4"/>
    <mergeCell ref="B85:B89"/>
    <mergeCell ref="B109:H109"/>
    <mergeCell ref="B100:G100"/>
    <mergeCell ref="B101:G101"/>
    <mergeCell ref="B102:G102"/>
    <mergeCell ref="B103:G103"/>
    <mergeCell ref="C104:G104"/>
    <mergeCell ref="C105:G10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workbookViewId="0">
      <selection activeCell="B24" sqref="B24"/>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7" width="13" style="73" customWidth="1"/>
    <col min="8" max="16384" width="8.85546875" style="73"/>
  </cols>
  <sheetData>
    <row r="1" spans="1:24" x14ac:dyDescent="0.25">
      <c r="A1" s="369" t="s">
        <v>0</v>
      </c>
      <c r="B1" s="369"/>
      <c r="C1" s="26"/>
      <c r="D1" s="2"/>
      <c r="E1" s="26"/>
      <c r="F1" s="26"/>
      <c r="G1" s="26"/>
      <c r="H1" s="26"/>
      <c r="I1" s="26"/>
      <c r="J1" s="26"/>
      <c r="K1" s="26"/>
      <c r="L1" s="26"/>
      <c r="M1" s="26"/>
    </row>
    <row r="2" spans="1:24" x14ac:dyDescent="0.25">
      <c r="A2" s="26"/>
      <c r="B2" s="26"/>
      <c r="C2" s="26"/>
      <c r="D2" s="26"/>
      <c r="E2" s="26"/>
      <c r="F2" s="26"/>
      <c r="G2" s="26"/>
      <c r="H2" s="26"/>
      <c r="I2" s="26"/>
      <c r="J2" s="26"/>
      <c r="K2" s="26"/>
      <c r="L2" s="26"/>
      <c r="M2" s="26"/>
    </row>
    <row r="3" spans="1:24" x14ac:dyDescent="0.25">
      <c r="A3" s="4" t="s">
        <v>1</v>
      </c>
      <c r="B3" s="5" t="s">
        <v>2</v>
      </c>
      <c r="C3" s="6" t="s">
        <v>676</v>
      </c>
      <c r="D3" s="26"/>
      <c r="E3" s="26"/>
      <c r="F3" s="26"/>
      <c r="G3" s="26"/>
      <c r="H3" s="26"/>
      <c r="I3" s="12"/>
      <c r="J3" s="12"/>
      <c r="K3" s="12"/>
      <c r="L3" s="12"/>
      <c r="M3" s="12"/>
      <c r="N3" s="74"/>
      <c r="O3" s="74"/>
      <c r="P3" s="74"/>
      <c r="Q3" s="74"/>
      <c r="R3" s="74"/>
      <c r="S3" s="74"/>
      <c r="T3" s="74"/>
      <c r="U3" s="74"/>
      <c r="V3" s="74"/>
      <c r="W3" s="74"/>
      <c r="X3" s="74"/>
    </row>
    <row r="4" spans="1:24" x14ac:dyDescent="0.25">
      <c r="A4" s="26"/>
      <c r="B4" s="26"/>
      <c r="C4" s="26"/>
      <c r="D4" s="9"/>
      <c r="E4" s="26"/>
      <c r="F4" s="12"/>
      <c r="G4" s="12"/>
      <c r="H4" s="12"/>
      <c r="I4" s="12"/>
      <c r="J4" s="12"/>
      <c r="K4" s="12"/>
      <c r="L4" s="12"/>
      <c r="M4" s="12"/>
      <c r="N4" s="74"/>
      <c r="O4" s="74"/>
      <c r="P4" s="74"/>
      <c r="Q4" s="74"/>
      <c r="R4" s="74"/>
      <c r="S4" s="74"/>
      <c r="T4" s="74"/>
      <c r="U4" s="74"/>
      <c r="V4" s="74"/>
      <c r="W4" s="74"/>
      <c r="X4" s="74"/>
    </row>
    <row r="5" spans="1:24" x14ac:dyDescent="0.25">
      <c r="A5" s="10">
        <v>1</v>
      </c>
      <c r="B5" s="11" t="s">
        <v>4</v>
      </c>
      <c r="C5" s="324" t="s">
        <v>152</v>
      </c>
      <c r="D5" s="325"/>
      <c r="E5" s="370"/>
      <c r="F5" s="12"/>
      <c r="G5" s="12"/>
      <c r="H5" s="12"/>
      <c r="I5" s="12"/>
      <c r="J5" s="12"/>
      <c r="K5" s="12"/>
      <c r="L5" s="12"/>
      <c r="M5" s="12"/>
    </row>
    <row r="6" spans="1:24" x14ac:dyDescent="0.25">
      <c r="A6" s="13"/>
      <c r="B6" s="382" t="s">
        <v>6</v>
      </c>
      <c r="C6" s="382"/>
      <c r="D6" s="382"/>
      <c r="E6" s="14"/>
      <c r="F6" s="12"/>
      <c r="G6" s="12"/>
      <c r="H6" s="12"/>
      <c r="I6" s="12"/>
      <c r="J6" s="12"/>
      <c r="K6" s="12"/>
      <c r="L6" s="12"/>
      <c r="M6" s="12"/>
    </row>
    <row r="7" spans="1:24" x14ac:dyDescent="0.25">
      <c r="A7" s="13"/>
      <c r="B7" s="15"/>
      <c r="C7" s="12"/>
      <c r="D7" s="9"/>
      <c r="E7" s="12"/>
      <c r="F7" s="12"/>
      <c r="G7" s="12"/>
      <c r="H7" s="12"/>
      <c r="I7" s="12"/>
      <c r="J7" s="12"/>
      <c r="K7" s="12"/>
      <c r="L7" s="12"/>
      <c r="M7" s="12"/>
    </row>
    <row r="8" spans="1:24" x14ac:dyDescent="0.25">
      <c r="A8" s="13">
        <v>2</v>
      </c>
      <c r="B8" s="11" t="s">
        <v>7</v>
      </c>
      <c r="C8" s="16" t="s">
        <v>677</v>
      </c>
      <c r="D8" s="9"/>
      <c r="E8" s="12"/>
      <c r="F8" s="12"/>
      <c r="G8" s="12"/>
      <c r="H8" s="12"/>
      <c r="I8" s="12"/>
      <c r="J8" s="12"/>
      <c r="K8" s="12"/>
      <c r="L8" s="12"/>
      <c r="M8" s="12"/>
    </row>
    <row r="9" spans="1:24" x14ac:dyDescent="0.25">
      <c r="A9" s="13"/>
      <c r="B9" s="400" t="s">
        <v>6</v>
      </c>
      <c r="C9" s="401"/>
      <c r="D9" s="402"/>
      <c r="E9" s="12"/>
      <c r="F9" s="12"/>
      <c r="G9" s="12"/>
      <c r="H9" s="12"/>
      <c r="I9" s="12"/>
      <c r="J9" s="12"/>
      <c r="K9" s="12"/>
      <c r="L9" s="12"/>
      <c r="M9" s="12"/>
    </row>
    <row r="10" spans="1:24" x14ac:dyDescent="0.25">
      <c r="A10" s="13"/>
      <c r="B10" s="15"/>
      <c r="C10" s="12"/>
      <c r="D10" s="9"/>
      <c r="E10" s="12"/>
      <c r="F10" s="12"/>
      <c r="G10" s="12"/>
      <c r="H10" s="12"/>
      <c r="I10" s="12"/>
      <c r="J10" s="12"/>
      <c r="K10" s="12"/>
      <c r="L10" s="12"/>
      <c r="M10" s="12"/>
    </row>
    <row r="11" spans="1:24" ht="25.5" x14ac:dyDescent="0.25">
      <c r="A11" s="13">
        <v>3</v>
      </c>
      <c r="B11" s="11" t="s">
        <v>9</v>
      </c>
      <c r="C11" s="324" t="s">
        <v>10</v>
      </c>
      <c r="D11" s="325"/>
      <c r="E11" s="370"/>
      <c r="F11" s="26"/>
      <c r="G11" s="26"/>
      <c r="H11" s="26"/>
      <c r="I11" s="26"/>
      <c r="J11" s="26"/>
      <c r="K11" s="26"/>
      <c r="L11" s="26"/>
      <c r="M11" s="26"/>
    </row>
    <row r="12" spans="1:24" x14ac:dyDescent="0.25">
      <c r="A12" s="13"/>
      <c r="B12" s="382" t="s">
        <v>6</v>
      </c>
      <c r="C12" s="382"/>
      <c r="D12" s="382"/>
      <c r="E12" s="14"/>
      <c r="F12" s="26"/>
      <c r="G12" s="26"/>
      <c r="H12" s="26"/>
      <c r="I12" s="26"/>
      <c r="J12" s="26"/>
      <c r="K12" s="26"/>
      <c r="L12" s="26"/>
      <c r="M12" s="26"/>
    </row>
    <row r="13" spans="1:24" x14ac:dyDescent="0.25">
      <c r="A13" s="13"/>
      <c r="B13" s="15"/>
      <c r="C13" s="12"/>
      <c r="D13" s="9"/>
      <c r="E13" s="26"/>
      <c r="F13" s="26"/>
      <c r="G13" s="26"/>
      <c r="H13" s="26"/>
      <c r="I13" s="26"/>
      <c r="J13" s="26"/>
      <c r="K13" s="26"/>
      <c r="L13" s="26"/>
      <c r="M13" s="26"/>
    </row>
    <row r="14" spans="1:24" x14ac:dyDescent="0.25">
      <c r="A14" s="13">
        <v>4</v>
      </c>
      <c r="B14" s="5" t="s">
        <v>11</v>
      </c>
      <c r="C14" s="6" t="s">
        <v>678</v>
      </c>
      <c r="D14" s="9"/>
      <c r="E14" s="26"/>
      <c r="F14" s="26"/>
      <c r="G14" s="26"/>
      <c r="H14" s="26"/>
      <c r="I14" s="26"/>
      <c r="J14" s="26"/>
      <c r="K14" s="26"/>
      <c r="L14" s="26"/>
      <c r="M14" s="26"/>
    </row>
    <row r="15" spans="1:24" ht="13.5" x14ac:dyDescent="0.25">
      <c r="A15" s="13"/>
      <c r="B15" s="353" t="s">
        <v>13</v>
      </c>
      <c r="C15" s="385"/>
      <c r="D15" s="9"/>
      <c r="E15" s="26"/>
      <c r="F15" s="12"/>
      <c r="G15" s="26"/>
      <c r="H15" s="26"/>
      <c r="I15" s="26"/>
      <c r="J15" s="26"/>
      <c r="K15" s="26"/>
      <c r="L15" s="26"/>
      <c r="M15" s="26"/>
    </row>
    <row r="16" spans="1:24" x14ac:dyDescent="0.25">
      <c r="A16" s="13"/>
      <c r="B16" s="26"/>
      <c r="C16" s="12"/>
      <c r="D16" s="9"/>
      <c r="E16" s="26"/>
      <c r="F16" s="26"/>
      <c r="G16" s="26"/>
      <c r="H16" s="26"/>
      <c r="I16" s="26"/>
      <c r="J16" s="26"/>
      <c r="K16" s="26"/>
      <c r="L16" s="26"/>
      <c r="M16" s="26"/>
    </row>
    <row r="17" spans="1:13" ht="25.5" customHeight="1" x14ac:dyDescent="0.25">
      <c r="A17" s="13">
        <v>5</v>
      </c>
      <c r="B17" s="333" t="s">
        <v>14</v>
      </c>
      <c r="C17" s="372"/>
      <c r="D17" s="372"/>
      <c r="E17" s="372"/>
      <c r="F17" s="15"/>
      <c r="G17" s="15"/>
      <c r="H17" s="15"/>
      <c r="I17" s="15"/>
      <c r="J17" s="17"/>
      <c r="K17" s="17"/>
      <c r="L17" s="17"/>
      <c r="M17" s="17"/>
    </row>
    <row r="18" spans="1:13" x14ac:dyDescent="0.25">
      <c r="A18" s="13"/>
      <c r="B18" s="228" t="s">
        <v>15</v>
      </c>
      <c r="C18" s="373" t="s">
        <v>16</v>
      </c>
      <c r="D18" s="373"/>
      <c r="E18" s="373"/>
      <c r="F18" s="19"/>
      <c r="G18" s="17"/>
      <c r="H18" s="17"/>
      <c r="I18" s="17"/>
      <c r="J18" s="17"/>
      <c r="K18" s="17"/>
      <c r="L18" s="17"/>
      <c r="M18" s="17"/>
    </row>
    <row r="19" spans="1:13" ht="25.5" x14ac:dyDescent="0.25">
      <c r="A19" s="13"/>
      <c r="B19" s="228" t="s">
        <v>663</v>
      </c>
      <c r="C19" s="363" t="s">
        <v>16</v>
      </c>
      <c r="D19" s="363"/>
      <c r="E19" s="363"/>
      <c r="F19" s="19"/>
      <c r="G19" s="17"/>
      <c r="H19" s="26"/>
      <c r="I19" s="17"/>
      <c r="J19" s="17"/>
      <c r="K19" s="17"/>
      <c r="L19" s="17"/>
      <c r="M19" s="17"/>
    </row>
    <row r="20" spans="1:13" x14ac:dyDescent="0.25">
      <c r="A20" s="13"/>
      <c r="B20" s="228" t="s">
        <v>664</v>
      </c>
      <c r="C20" s="363" t="s">
        <v>16</v>
      </c>
      <c r="D20" s="363"/>
      <c r="E20" s="363"/>
      <c r="F20" s="19"/>
      <c r="G20" s="17"/>
      <c r="H20" s="17"/>
      <c r="I20" s="17"/>
      <c r="J20" s="17"/>
      <c r="K20" s="17"/>
      <c r="L20" s="17"/>
      <c r="M20" s="17"/>
    </row>
    <row r="21" spans="1:13" x14ac:dyDescent="0.25">
      <c r="A21" s="13"/>
      <c r="B21" s="228" t="s">
        <v>19</v>
      </c>
      <c r="C21" s="373">
        <v>2.2700000000000001E-2</v>
      </c>
      <c r="D21" s="363"/>
      <c r="E21" s="363"/>
      <c r="F21" s="19"/>
      <c r="G21" s="17"/>
      <c r="H21" s="17"/>
      <c r="I21" s="17"/>
      <c r="J21" s="17"/>
      <c r="K21" s="17"/>
      <c r="L21" s="17"/>
      <c r="M21" s="17"/>
    </row>
    <row r="22" spans="1:13" x14ac:dyDescent="0.25">
      <c r="A22" s="13"/>
      <c r="B22" s="20" t="s">
        <v>20</v>
      </c>
      <c r="C22" s="426" t="s">
        <v>16</v>
      </c>
      <c r="D22" s="426"/>
      <c r="E22" s="426"/>
      <c r="F22" s="19"/>
      <c r="G22" s="17"/>
      <c r="H22" s="17"/>
      <c r="I22" s="17"/>
      <c r="J22" s="17"/>
      <c r="K22" s="17"/>
      <c r="L22" s="17"/>
      <c r="M22" s="17"/>
    </row>
    <row r="23" spans="1:13" x14ac:dyDescent="0.25">
      <c r="A23" s="13"/>
      <c r="B23" s="353"/>
      <c r="C23" s="354"/>
      <c r="D23" s="354"/>
      <c r="E23" s="355"/>
      <c r="F23" s="19"/>
      <c r="G23" s="17"/>
      <c r="H23" s="17"/>
      <c r="I23" s="17"/>
      <c r="J23" s="17"/>
      <c r="K23" s="17"/>
      <c r="L23" s="17"/>
      <c r="M23" s="17"/>
    </row>
    <row r="24" spans="1:13" x14ac:dyDescent="0.25">
      <c r="A24" s="13"/>
      <c r="B24" s="26"/>
      <c r="C24" s="17"/>
      <c r="D24" s="17"/>
      <c r="E24" s="17"/>
      <c r="F24" s="19"/>
      <c r="G24" s="17"/>
      <c r="H24" s="17"/>
      <c r="I24" s="17"/>
      <c r="J24" s="17"/>
      <c r="K24" s="17"/>
      <c r="L24" s="17"/>
      <c r="M24" s="17"/>
    </row>
    <row r="25" spans="1:13" x14ac:dyDescent="0.25">
      <c r="A25" s="13"/>
      <c r="B25" s="19"/>
      <c r="C25" s="19"/>
      <c r="D25" s="19"/>
      <c r="E25" s="19"/>
      <c r="F25" s="19"/>
      <c r="G25" s="17"/>
      <c r="H25" s="17"/>
      <c r="I25" s="17"/>
      <c r="J25" s="17"/>
      <c r="K25" s="17"/>
      <c r="L25" s="17"/>
      <c r="M25" s="17"/>
    </row>
    <row r="26" spans="1:13" x14ac:dyDescent="0.25">
      <c r="A26" s="13">
        <v>6</v>
      </c>
      <c r="B26" s="333" t="s">
        <v>22</v>
      </c>
      <c r="C26" s="333"/>
      <c r="D26" s="333"/>
      <c r="E26" s="333"/>
      <c r="F26" s="15"/>
      <c r="G26" s="15"/>
      <c r="H26" s="17"/>
      <c r="I26" s="15"/>
      <c r="J26" s="15"/>
      <c r="K26" s="26"/>
      <c r="L26" s="26"/>
      <c r="M26" s="26"/>
    </row>
    <row r="27" spans="1:13" x14ac:dyDescent="0.25">
      <c r="A27" s="13"/>
      <c r="B27" s="364" t="s">
        <v>23</v>
      </c>
      <c r="C27" s="365"/>
      <c r="D27" s="365"/>
      <c r="E27" s="366"/>
      <c r="F27" s="19"/>
      <c r="G27" s="26"/>
      <c r="H27" s="26"/>
      <c r="I27" s="26"/>
      <c r="J27" s="26"/>
      <c r="K27" s="26"/>
      <c r="L27" s="26"/>
      <c r="M27" s="26"/>
    </row>
    <row r="28" spans="1:13" x14ac:dyDescent="0.25">
      <c r="A28" s="13"/>
      <c r="B28" s="227" t="s">
        <v>24</v>
      </c>
      <c r="C28" s="226" t="s">
        <v>264</v>
      </c>
      <c r="D28" s="226" t="s">
        <v>26</v>
      </c>
      <c r="E28" s="226" t="s">
        <v>27</v>
      </c>
      <c r="F28" s="19"/>
      <c r="G28" s="26"/>
      <c r="H28" s="26"/>
      <c r="I28" s="26"/>
      <c r="J28" s="26"/>
      <c r="K28" s="26"/>
      <c r="L28" s="26"/>
      <c r="M28" s="26"/>
    </row>
    <row r="29" spans="1:13" ht="12.75" customHeight="1" x14ac:dyDescent="0.2">
      <c r="A29" s="13"/>
      <c r="B29" s="230" t="s">
        <v>28</v>
      </c>
      <c r="C29" s="240">
        <v>6484.96</v>
      </c>
      <c r="D29" s="232">
        <v>5996.24</v>
      </c>
      <c r="E29" s="251">
        <v>7909.17</v>
      </c>
      <c r="F29" s="26"/>
      <c r="G29" s="26"/>
      <c r="H29" s="26"/>
      <c r="I29" s="26"/>
      <c r="J29" s="26"/>
      <c r="K29" s="26"/>
      <c r="L29" s="26"/>
      <c r="M29" s="26"/>
    </row>
    <row r="30" spans="1:13" x14ac:dyDescent="0.25">
      <c r="A30" s="13"/>
      <c r="B30" s="230" t="s">
        <v>29</v>
      </c>
      <c r="C30" s="232">
        <v>370.46</v>
      </c>
      <c r="D30" s="232">
        <v>285.20999999999998</v>
      </c>
      <c r="E30" s="251">
        <v>332.35</v>
      </c>
      <c r="F30" s="26"/>
      <c r="G30" s="26"/>
      <c r="H30" s="26"/>
      <c r="I30" s="26"/>
      <c r="J30" s="26"/>
      <c r="K30" s="26"/>
      <c r="L30" s="26"/>
      <c r="M30" s="26"/>
    </row>
    <row r="31" spans="1:13" x14ac:dyDescent="0.25">
      <c r="A31" s="13"/>
      <c r="B31" s="230" t="s">
        <v>30</v>
      </c>
      <c r="C31" s="136">
        <v>1000.8</v>
      </c>
      <c r="D31" s="136">
        <v>1000.8</v>
      </c>
      <c r="E31" s="136">
        <v>1000.8</v>
      </c>
      <c r="F31" s="26"/>
      <c r="G31" s="26"/>
      <c r="H31" s="26"/>
      <c r="I31" s="26"/>
      <c r="J31" s="26"/>
      <c r="K31" s="26"/>
      <c r="L31" s="26"/>
      <c r="M31" s="26"/>
    </row>
    <row r="32" spans="1:13" x14ac:dyDescent="0.25">
      <c r="A32" s="13"/>
      <c r="B32" s="230" t="s">
        <v>31</v>
      </c>
      <c r="C32" s="232">
        <v>516.32000000000005</v>
      </c>
      <c r="D32" s="232">
        <v>1781.42</v>
      </c>
      <c r="E32" s="251">
        <v>2113.77</v>
      </c>
      <c r="F32" s="26"/>
      <c r="G32" s="26"/>
      <c r="H32" s="26"/>
      <c r="I32" s="26"/>
      <c r="J32" s="26"/>
      <c r="K32" s="26"/>
      <c r="L32" s="26"/>
      <c r="M32" s="26"/>
    </row>
    <row r="33" spans="1:13" x14ac:dyDescent="0.25">
      <c r="A33" s="13"/>
      <c r="B33" s="353"/>
      <c r="C33" s="354"/>
      <c r="D33" s="354"/>
      <c r="E33" s="355"/>
      <c r="F33" s="19"/>
      <c r="G33" s="26"/>
      <c r="H33" s="26"/>
      <c r="I33" s="26"/>
      <c r="J33" s="26"/>
      <c r="K33" s="26"/>
      <c r="L33" s="26"/>
      <c r="M33" s="26"/>
    </row>
    <row r="34" spans="1:13" x14ac:dyDescent="0.25">
      <c r="A34" s="13"/>
      <c r="B34" s="17"/>
      <c r="C34" s="19"/>
      <c r="D34" s="19"/>
      <c r="E34" s="19"/>
      <c r="F34" s="19"/>
      <c r="G34" s="26"/>
      <c r="H34" s="26"/>
      <c r="I34" s="26"/>
      <c r="J34" s="26"/>
      <c r="K34" s="26"/>
      <c r="L34" s="26"/>
      <c r="M34" s="26"/>
    </row>
    <row r="35" spans="1:13" x14ac:dyDescent="0.25">
      <c r="A35" s="13">
        <v>7</v>
      </c>
      <c r="B35" s="333" t="s">
        <v>33</v>
      </c>
      <c r="C35" s="333"/>
      <c r="D35" s="333"/>
      <c r="E35" s="333"/>
      <c r="F35" s="15"/>
      <c r="G35" s="15"/>
      <c r="H35" s="15"/>
      <c r="I35" s="15"/>
      <c r="J35" s="15"/>
      <c r="K35" s="26"/>
      <c r="L35" s="26"/>
      <c r="M35" s="26"/>
    </row>
    <row r="36" spans="1:13" x14ac:dyDescent="0.25">
      <c r="A36" s="13"/>
      <c r="B36" s="227" t="s">
        <v>34</v>
      </c>
      <c r="C36" s="232" t="s">
        <v>245</v>
      </c>
      <c r="D36" s="17"/>
      <c r="E36" s="17"/>
      <c r="F36" s="17"/>
      <c r="G36" s="26"/>
      <c r="H36" s="26"/>
      <c r="I36" s="26"/>
      <c r="J36" s="26"/>
      <c r="K36" s="26"/>
      <c r="L36" s="26"/>
      <c r="M36" s="26"/>
    </row>
    <row r="37" spans="1:13" x14ac:dyDescent="0.25">
      <c r="A37" s="13"/>
      <c r="B37" s="227" t="s">
        <v>36</v>
      </c>
      <c r="C37" s="232" t="s">
        <v>245</v>
      </c>
      <c r="D37" s="17"/>
      <c r="E37" s="17"/>
      <c r="F37" s="17"/>
      <c r="G37" s="26"/>
      <c r="H37" s="26"/>
      <c r="I37" s="26"/>
      <c r="J37" s="26"/>
      <c r="K37" s="26"/>
      <c r="L37" s="26"/>
      <c r="M37" s="26"/>
    </row>
    <row r="38" spans="1:13" x14ac:dyDescent="0.25">
      <c r="A38" s="13"/>
      <c r="B38" s="233" t="s">
        <v>37</v>
      </c>
      <c r="C38" s="251" t="s">
        <v>245</v>
      </c>
      <c r="D38" s="17"/>
      <c r="E38" s="17"/>
      <c r="F38" s="17"/>
      <c r="G38" s="26" t="s">
        <v>750</v>
      </c>
      <c r="H38" s="26"/>
      <c r="I38" s="26"/>
      <c r="J38" s="26"/>
      <c r="K38" s="26"/>
      <c r="L38" s="26"/>
      <c r="M38" s="26"/>
    </row>
    <row r="39" spans="1:13" x14ac:dyDescent="0.25">
      <c r="A39" s="13"/>
      <c r="B39" s="382"/>
      <c r="C39" s="382"/>
      <c r="D39" s="17"/>
      <c r="E39" s="17"/>
      <c r="F39" s="17"/>
      <c r="G39" s="26"/>
      <c r="H39" s="26"/>
      <c r="I39" s="26"/>
      <c r="J39" s="26"/>
      <c r="K39" s="26"/>
      <c r="L39" s="26"/>
      <c r="M39" s="26"/>
    </row>
    <row r="40" spans="1:13" x14ac:dyDescent="0.25">
      <c r="A40" s="13"/>
      <c r="B40" s="12"/>
      <c r="C40" s="17"/>
      <c r="D40" s="17"/>
      <c r="E40" s="17"/>
      <c r="F40" s="17"/>
      <c r="G40" s="26"/>
      <c r="H40" s="26"/>
      <c r="I40" s="26"/>
      <c r="J40" s="26"/>
      <c r="K40" s="26"/>
      <c r="L40" s="26"/>
      <c r="M40" s="26"/>
    </row>
    <row r="41" spans="1:13" x14ac:dyDescent="0.25">
      <c r="A41" s="13"/>
      <c r="B41" s="19"/>
      <c r="C41" s="17"/>
      <c r="D41" s="17"/>
      <c r="E41" s="17"/>
      <c r="F41" s="17"/>
      <c r="G41" s="26"/>
      <c r="H41" s="26"/>
      <c r="I41" s="26"/>
      <c r="J41" s="26"/>
      <c r="K41" s="26"/>
      <c r="L41" s="26"/>
      <c r="M41" s="26"/>
    </row>
    <row r="42" spans="1:13" x14ac:dyDescent="0.25">
      <c r="A42" s="13">
        <v>8</v>
      </c>
      <c r="B42" s="333" t="s">
        <v>38</v>
      </c>
      <c r="C42" s="333"/>
      <c r="D42" s="333"/>
      <c r="E42" s="333"/>
      <c r="F42" s="15"/>
      <c r="G42" s="15"/>
      <c r="H42" s="15"/>
      <c r="I42" s="15"/>
      <c r="J42" s="15"/>
      <c r="K42" s="26"/>
      <c r="L42" s="26"/>
      <c r="M42" s="26"/>
    </row>
    <row r="43" spans="1:13" x14ac:dyDescent="0.25">
      <c r="A43" s="13"/>
      <c r="B43" s="227" t="s">
        <v>39</v>
      </c>
      <c r="C43" s="350" t="s">
        <v>16</v>
      </c>
      <c r="D43" s="351"/>
      <c r="E43" s="352"/>
      <c r="F43" s="17"/>
      <c r="G43" s="26"/>
      <c r="H43" s="26"/>
      <c r="I43" s="26"/>
      <c r="J43" s="26"/>
      <c r="K43" s="26"/>
      <c r="L43" s="26"/>
      <c r="M43" s="26"/>
    </row>
    <row r="44" spans="1:13" x14ac:dyDescent="0.25">
      <c r="A44" s="13"/>
      <c r="B44" s="227" t="s">
        <v>36</v>
      </c>
      <c r="C44" s="350" t="s">
        <v>881</v>
      </c>
      <c r="D44" s="351"/>
      <c r="E44" s="352"/>
      <c r="F44" s="17"/>
      <c r="G44" s="26"/>
      <c r="H44" s="26"/>
      <c r="I44" s="26"/>
      <c r="J44" s="26"/>
      <c r="K44" s="26"/>
      <c r="L44" s="26"/>
      <c r="M44" s="26"/>
    </row>
    <row r="45" spans="1:13" x14ac:dyDescent="0.25">
      <c r="A45" s="13"/>
      <c r="B45" s="227" t="s">
        <v>37</v>
      </c>
      <c r="C45" s="367" t="s">
        <v>882</v>
      </c>
      <c r="D45" s="367"/>
      <c r="E45" s="367"/>
      <c r="F45" s="17"/>
      <c r="G45" s="26"/>
      <c r="H45" s="26"/>
      <c r="I45" s="26"/>
      <c r="J45" s="26"/>
      <c r="K45" s="26"/>
      <c r="L45" s="26"/>
      <c r="M45" s="26"/>
    </row>
    <row r="46" spans="1:13" x14ac:dyDescent="0.25">
      <c r="A46" s="13"/>
      <c r="B46" s="353" t="s">
        <v>40</v>
      </c>
      <c r="C46" s="354"/>
      <c r="D46" s="354"/>
      <c r="E46" s="355"/>
      <c r="F46" s="17"/>
      <c r="G46" s="26"/>
      <c r="H46" s="26"/>
      <c r="I46" s="26"/>
      <c r="J46" s="26"/>
      <c r="K46" s="26"/>
      <c r="L46" s="26"/>
      <c r="M46" s="26"/>
    </row>
    <row r="47" spans="1:13" x14ac:dyDescent="0.25">
      <c r="A47" s="4"/>
      <c r="B47" s="12"/>
      <c r="C47" s="12"/>
      <c r="D47" s="28"/>
      <c r="E47" s="17"/>
      <c r="F47" s="26"/>
      <c r="G47" s="26"/>
      <c r="H47" s="26"/>
      <c r="I47" s="26"/>
      <c r="J47" s="26"/>
      <c r="K47" s="26"/>
      <c r="L47" s="26"/>
      <c r="M47" s="26"/>
    </row>
    <row r="48" spans="1:13" x14ac:dyDescent="0.25">
      <c r="A48" s="29">
        <v>9</v>
      </c>
      <c r="B48" s="340" t="s">
        <v>41</v>
      </c>
      <c r="C48" s="333"/>
      <c r="D48" s="333"/>
      <c r="E48" s="333"/>
      <c r="F48" s="30"/>
      <c r="G48" s="15"/>
      <c r="H48" s="15"/>
      <c r="I48" s="15"/>
      <c r="J48" s="26"/>
      <c r="K48" s="26"/>
      <c r="L48" s="26"/>
      <c r="M48" s="26"/>
    </row>
    <row r="49" spans="1:13" ht="25.5" x14ac:dyDescent="0.25">
      <c r="A49" s="29"/>
      <c r="B49" s="225" t="s">
        <v>42</v>
      </c>
      <c r="C49" s="32" t="s">
        <v>43</v>
      </c>
      <c r="D49" s="33" t="s">
        <v>44</v>
      </c>
      <c r="E49" s="32" t="s">
        <v>268</v>
      </c>
      <c r="F49" s="26"/>
      <c r="G49" s="26"/>
      <c r="H49" s="26"/>
      <c r="I49" s="26"/>
      <c r="J49" s="26"/>
      <c r="K49" s="26"/>
      <c r="L49" s="26"/>
      <c r="M49" s="26"/>
    </row>
    <row r="50" spans="1:13" ht="191.25" x14ac:dyDescent="0.25">
      <c r="A50" s="34"/>
      <c r="B50" s="94" t="s">
        <v>369</v>
      </c>
      <c r="C50" s="94" t="s">
        <v>679</v>
      </c>
      <c r="D50" s="94" t="s">
        <v>955</v>
      </c>
      <c r="E50" s="32"/>
      <c r="F50" s="26"/>
      <c r="G50" s="26"/>
      <c r="H50" s="26"/>
      <c r="I50" s="26"/>
      <c r="J50" s="26"/>
      <c r="K50" s="26"/>
      <c r="L50" s="26"/>
      <c r="M50" s="26"/>
    </row>
    <row r="51" spans="1:13" x14ac:dyDescent="0.25">
      <c r="A51" s="36"/>
      <c r="B51" s="345" t="s">
        <v>680</v>
      </c>
      <c r="C51" s="346"/>
      <c r="D51" s="346"/>
      <c r="E51" s="347"/>
      <c r="F51" s="19"/>
      <c r="G51" s="19"/>
      <c r="H51" s="19"/>
      <c r="I51" s="26"/>
      <c r="J51" s="26"/>
      <c r="K51" s="26"/>
      <c r="L51" s="26"/>
      <c r="M51" s="26"/>
    </row>
    <row r="52" spans="1:13" x14ac:dyDescent="0.25">
      <c r="A52" s="37"/>
      <c r="B52" s="75"/>
      <c r="C52" s="28"/>
      <c r="D52" s="28"/>
      <c r="E52" s="28"/>
      <c r="F52" s="19"/>
      <c r="G52" s="19"/>
      <c r="H52" s="19"/>
      <c r="I52" s="19"/>
      <c r="J52" s="26"/>
      <c r="K52" s="26"/>
      <c r="L52" s="26"/>
      <c r="M52" s="26"/>
    </row>
    <row r="53" spans="1:13" x14ac:dyDescent="0.25">
      <c r="A53" s="29">
        <v>10</v>
      </c>
      <c r="B53" s="340" t="s">
        <v>41</v>
      </c>
      <c r="C53" s="333"/>
      <c r="D53" s="333"/>
      <c r="E53" s="333"/>
      <c r="F53" s="19"/>
      <c r="G53" s="19"/>
      <c r="H53" s="19"/>
      <c r="I53" s="26"/>
      <c r="J53" s="26"/>
      <c r="K53" s="26"/>
      <c r="L53" s="26"/>
      <c r="M53" s="26"/>
    </row>
    <row r="54" spans="1:13" x14ac:dyDescent="0.25">
      <c r="A54" s="34"/>
      <c r="B54" s="357" t="s">
        <v>50</v>
      </c>
      <c r="C54" s="394" t="s">
        <v>681</v>
      </c>
      <c r="D54" s="395"/>
      <c r="E54" s="396"/>
      <c r="F54" s="26"/>
      <c r="G54" s="26"/>
      <c r="H54" s="26"/>
      <c r="I54" s="26"/>
      <c r="J54" s="26"/>
      <c r="K54" s="26"/>
      <c r="L54" s="26"/>
      <c r="M54" s="26"/>
    </row>
    <row r="55" spans="1:13" ht="41.25" customHeight="1" x14ac:dyDescent="0.25">
      <c r="A55" s="34"/>
      <c r="B55" s="358"/>
      <c r="C55" s="397"/>
      <c r="D55" s="398"/>
      <c r="E55" s="399"/>
      <c r="F55" s="26"/>
      <c r="G55" s="26"/>
      <c r="H55" s="26"/>
      <c r="I55" s="26"/>
      <c r="J55" s="26"/>
      <c r="K55" s="26"/>
      <c r="L55" s="26"/>
      <c r="M55" s="26"/>
    </row>
    <row r="56" spans="1:13" ht="63" customHeight="1" x14ac:dyDescent="0.25">
      <c r="A56" s="29"/>
      <c r="B56" s="39" t="s">
        <v>54</v>
      </c>
      <c r="C56" s="344" t="s">
        <v>956</v>
      </c>
      <c r="D56" s="344"/>
      <c r="E56" s="344"/>
      <c r="F56" s="26"/>
      <c r="G56" s="26"/>
      <c r="H56" s="26"/>
      <c r="I56" s="26"/>
      <c r="J56" s="26"/>
      <c r="K56" s="26"/>
      <c r="L56" s="26"/>
      <c r="M56" s="26"/>
    </row>
    <row r="57" spans="1:13" x14ac:dyDescent="0.25">
      <c r="A57" s="34"/>
      <c r="B57" s="39" t="s">
        <v>55</v>
      </c>
      <c r="C57" s="344" t="s">
        <v>56</v>
      </c>
      <c r="D57" s="344"/>
      <c r="E57" s="344"/>
      <c r="F57" s="26"/>
      <c r="G57" s="26"/>
      <c r="H57" s="26"/>
      <c r="I57" s="26"/>
      <c r="J57" s="26"/>
      <c r="K57" s="26"/>
      <c r="L57" s="26"/>
      <c r="M57" s="26"/>
    </row>
    <row r="58" spans="1:13" x14ac:dyDescent="0.25">
      <c r="A58" s="34"/>
      <c r="B58" s="345" t="s">
        <v>682</v>
      </c>
      <c r="C58" s="346"/>
      <c r="D58" s="346"/>
      <c r="E58" s="347"/>
      <c r="F58" s="26"/>
      <c r="G58" s="26"/>
      <c r="H58" s="26"/>
      <c r="I58" s="26"/>
      <c r="J58" s="26"/>
      <c r="K58" s="26"/>
      <c r="L58" s="26"/>
      <c r="M58" s="26"/>
    </row>
    <row r="59" spans="1:13" s="76" customFormat="1" x14ac:dyDescent="0.2">
      <c r="A59" s="41" t="s">
        <v>57</v>
      </c>
      <c r="B59" s="384" t="s">
        <v>58</v>
      </c>
      <c r="C59" s="384"/>
      <c r="D59" s="384"/>
      <c r="E59" s="384"/>
      <c r="F59" s="239"/>
      <c r="G59" s="239"/>
      <c r="H59" s="239"/>
      <c r="I59" s="239"/>
      <c r="J59" s="239"/>
      <c r="K59" s="239"/>
      <c r="L59" s="239"/>
      <c r="M59" s="239"/>
    </row>
    <row r="60" spans="1:13" x14ac:dyDescent="0.25">
      <c r="A60" s="48"/>
      <c r="B60" s="49"/>
      <c r="C60" s="50"/>
      <c r="D60" s="50"/>
      <c r="E60" s="50"/>
      <c r="F60" s="50"/>
      <c r="G60" s="12"/>
      <c r="H60" s="12"/>
      <c r="I60" s="12"/>
      <c r="J60" s="12"/>
      <c r="K60" s="12"/>
      <c r="L60" s="26"/>
      <c r="M60" s="26"/>
    </row>
    <row r="61" spans="1:13" x14ac:dyDescent="0.25">
      <c r="A61" s="13">
        <v>11</v>
      </c>
      <c r="B61" s="5" t="s">
        <v>59</v>
      </c>
      <c r="C61" s="349" t="s">
        <v>60</v>
      </c>
      <c r="D61" s="349"/>
      <c r="E61" s="349"/>
      <c r="F61" s="15"/>
      <c r="G61" s="15"/>
      <c r="H61" s="51"/>
      <c r="I61" s="15"/>
      <c r="J61" s="15"/>
      <c r="K61" s="12"/>
      <c r="L61" s="26"/>
      <c r="M61" s="26"/>
    </row>
    <row r="62" spans="1:13" x14ac:dyDescent="0.25">
      <c r="A62" s="13"/>
      <c r="B62" s="19"/>
      <c r="C62" s="19"/>
      <c r="D62" s="19"/>
      <c r="E62" s="19"/>
      <c r="F62" s="19"/>
      <c r="G62" s="19"/>
      <c r="H62" s="52"/>
      <c r="I62" s="52"/>
      <c r="J62" s="19"/>
      <c r="K62" s="26"/>
      <c r="L62" s="26"/>
      <c r="M62" s="26"/>
    </row>
    <row r="63" spans="1:13" x14ac:dyDescent="0.25">
      <c r="A63" s="13">
        <v>12</v>
      </c>
      <c r="B63" s="15" t="s">
        <v>61</v>
      </c>
      <c r="C63" s="15"/>
      <c r="D63" s="15"/>
      <c r="E63" s="51"/>
      <c r="F63" s="51"/>
      <c r="G63" s="15"/>
      <c r="H63" s="15"/>
      <c r="I63" s="15"/>
      <c r="J63" s="15"/>
      <c r="K63" s="15"/>
      <c r="L63" s="15"/>
      <c r="M63" s="15"/>
    </row>
    <row r="64" spans="1:13" x14ac:dyDescent="0.25">
      <c r="A64" s="13"/>
      <c r="B64" s="15"/>
      <c r="C64" s="15"/>
      <c r="D64" s="15"/>
      <c r="E64" s="51"/>
      <c r="F64" s="51"/>
      <c r="G64" s="51"/>
      <c r="H64" s="15"/>
      <c r="I64" s="15"/>
      <c r="J64" s="15"/>
      <c r="K64" s="15"/>
      <c r="L64" s="15"/>
      <c r="M64" s="15"/>
    </row>
    <row r="65" spans="1:14" x14ac:dyDescent="0.25">
      <c r="A65" s="13"/>
      <c r="B65" s="227" t="s">
        <v>62</v>
      </c>
      <c r="C65" s="230" t="s">
        <v>683</v>
      </c>
      <c r="D65" s="19"/>
      <c r="E65" s="19"/>
      <c r="F65" s="52"/>
      <c r="G65" s="52"/>
      <c r="H65" s="19"/>
      <c r="I65" s="19"/>
      <c r="J65" s="19"/>
      <c r="K65" s="19"/>
      <c r="L65" s="19"/>
      <c r="M65" s="19"/>
    </row>
    <row r="66" spans="1:14" x14ac:dyDescent="0.25">
      <c r="A66" s="13"/>
      <c r="B66" s="19"/>
      <c r="C66" s="19"/>
      <c r="D66" s="19"/>
      <c r="E66" s="19"/>
      <c r="F66" s="19"/>
      <c r="G66" s="19"/>
      <c r="H66" s="19"/>
      <c r="I66" s="19"/>
      <c r="J66" s="19"/>
      <c r="K66" s="19"/>
      <c r="L66" s="19"/>
      <c r="M66" s="19"/>
    </row>
    <row r="67" spans="1:14" ht="32.25" customHeight="1" x14ac:dyDescent="0.25">
      <c r="A67" s="13"/>
      <c r="B67" s="333" t="s">
        <v>64</v>
      </c>
      <c r="C67" s="372" t="s">
        <v>684</v>
      </c>
      <c r="D67" s="372" t="s">
        <v>333</v>
      </c>
      <c r="E67" s="336" t="s">
        <v>294</v>
      </c>
      <c r="F67" s="327" t="s">
        <v>685</v>
      </c>
      <c r="G67" s="328"/>
      <c r="H67" s="329"/>
      <c r="I67" s="330" t="s">
        <v>69</v>
      </c>
      <c r="J67" s="330"/>
      <c r="K67" s="330" t="s">
        <v>70</v>
      </c>
      <c r="L67" s="330"/>
      <c r="M67" s="330"/>
    </row>
    <row r="68" spans="1:14" ht="38.25" x14ac:dyDescent="0.25">
      <c r="A68" s="4"/>
      <c r="B68" s="333"/>
      <c r="C68" s="335"/>
      <c r="D68" s="335"/>
      <c r="E68" s="337"/>
      <c r="F68" s="227" t="s">
        <v>71</v>
      </c>
      <c r="G68" s="227" t="s">
        <v>72</v>
      </c>
      <c r="H68" s="227" t="s">
        <v>73</v>
      </c>
      <c r="I68" s="227" t="s">
        <v>74</v>
      </c>
      <c r="J68" s="227" t="s">
        <v>72</v>
      </c>
      <c r="K68" s="227" t="s">
        <v>74</v>
      </c>
      <c r="L68" s="227" t="s">
        <v>72</v>
      </c>
      <c r="M68" s="227" t="s">
        <v>73</v>
      </c>
    </row>
    <row r="69" spans="1:14" x14ac:dyDescent="0.25">
      <c r="A69" s="4"/>
      <c r="B69" s="227" t="s">
        <v>165</v>
      </c>
      <c r="C69" s="128">
        <v>36.950000000000003</v>
      </c>
      <c r="D69" s="54">
        <v>36.9</v>
      </c>
      <c r="E69" s="54">
        <v>36.9</v>
      </c>
      <c r="F69" s="54">
        <v>37.200000000000003</v>
      </c>
      <c r="G69" s="54">
        <v>41.5</v>
      </c>
      <c r="H69" s="54">
        <v>36.1</v>
      </c>
      <c r="I69" s="53">
        <v>38.75</v>
      </c>
      <c r="J69" s="53">
        <v>41.95</v>
      </c>
      <c r="K69" s="53">
        <v>61.15</v>
      </c>
      <c r="L69" s="53">
        <v>61.15</v>
      </c>
      <c r="M69" s="53">
        <v>61</v>
      </c>
    </row>
    <row r="70" spans="1:14" ht="25.5" x14ac:dyDescent="0.25">
      <c r="A70" s="4"/>
      <c r="B70" s="227" t="s">
        <v>686</v>
      </c>
      <c r="C70" s="128">
        <v>10808.05</v>
      </c>
      <c r="D70" s="54">
        <v>10936.85</v>
      </c>
      <c r="E70" s="54">
        <v>11369.9</v>
      </c>
      <c r="F70" s="53">
        <v>11623.9</v>
      </c>
      <c r="G70" s="53">
        <v>11760.2</v>
      </c>
      <c r="H70" s="53">
        <v>10004.549999999999</v>
      </c>
      <c r="I70" s="53">
        <v>8597.75</v>
      </c>
      <c r="J70" s="53">
        <v>12430.5</v>
      </c>
      <c r="K70" s="53">
        <v>14690.7</v>
      </c>
      <c r="L70" s="53">
        <v>15431.75</v>
      </c>
      <c r="M70" s="53">
        <v>8055.8</v>
      </c>
    </row>
    <row r="71" spans="1:14" ht="13.5" x14ac:dyDescent="0.25">
      <c r="A71" s="4"/>
      <c r="B71" s="383" t="s">
        <v>156</v>
      </c>
      <c r="C71" s="383"/>
      <c r="D71" s="383"/>
      <c r="E71" s="383"/>
      <c r="F71" s="383"/>
      <c r="G71" s="383"/>
      <c r="H71" s="383"/>
      <c r="I71" s="383"/>
      <c r="J71" s="383"/>
      <c r="K71" s="383"/>
      <c r="L71" s="383"/>
      <c r="M71" s="383"/>
      <c r="N71" s="73" t="s">
        <v>750</v>
      </c>
    </row>
    <row r="72" spans="1:14" x14ac:dyDescent="0.25">
      <c r="A72" s="4"/>
      <c r="B72" s="382" t="s">
        <v>79</v>
      </c>
      <c r="C72" s="382"/>
      <c r="D72" s="382"/>
      <c r="E72" s="382"/>
      <c r="F72" s="382"/>
      <c r="G72" s="382"/>
      <c r="H72" s="382"/>
      <c r="I72" s="382"/>
      <c r="J72" s="382"/>
      <c r="K72" s="382"/>
      <c r="L72" s="382"/>
      <c r="M72" s="382"/>
    </row>
    <row r="73" spans="1:14" s="57" customFormat="1" x14ac:dyDescent="0.25">
      <c r="B73" s="382" t="s">
        <v>80</v>
      </c>
      <c r="C73" s="382"/>
      <c r="D73" s="382"/>
      <c r="E73" s="382"/>
      <c r="F73" s="382"/>
      <c r="G73" s="382"/>
      <c r="H73" s="382"/>
      <c r="I73" s="382"/>
      <c r="J73" s="382"/>
      <c r="K73" s="382"/>
      <c r="L73" s="382"/>
      <c r="M73" s="382"/>
    </row>
    <row r="74" spans="1:14" x14ac:dyDescent="0.25">
      <c r="A74" s="4"/>
      <c r="B74" s="382" t="s">
        <v>420</v>
      </c>
      <c r="C74" s="382"/>
      <c r="D74" s="382"/>
      <c r="E74" s="382"/>
      <c r="F74" s="382"/>
      <c r="G74" s="382"/>
      <c r="H74" s="382"/>
      <c r="I74" s="382"/>
      <c r="J74" s="382"/>
      <c r="K74" s="382"/>
      <c r="L74" s="382"/>
      <c r="M74" s="382"/>
    </row>
    <row r="75" spans="1:14" x14ac:dyDescent="0.25">
      <c r="A75" s="4"/>
      <c r="B75" s="382" t="s">
        <v>82</v>
      </c>
      <c r="C75" s="382"/>
      <c r="D75" s="382"/>
      <c r="E75" s="382"/>
      <c r="F75" s="382"/>
      <c r="G75" s="382"/>
      <c r="H75" s="382"/>
      <c r="I75" s="382"/>
      <c r="J75" s="382"/>
      <c r="K75" s="382"/>
      <c r="L75" s="382"/>
      <c r="M75" s="382"/>
    </row>
    <row r="76" spans="1:14" x14ac:dyDescent="0.25">
      <c r="A76" s="4"/>
      <c r="B76" s="58"/>
      <c r="C76" s="58"/>
      <c r="D76" s="58"/>
      <c r="E76" s="58"/>
      <c r="F76" s="58"/>
      <c r="G76" s="17"/>
      <c r="H76" s="17"/>
      <c r="I76" s="17"/>
      <c r="J76" s="17"/>
      <c r="K76" s="17"/>
      <c r="L76" s="17"/>
      <c r="M76" s="17"/>
    </row>
    <row r="77" spans="1:14" x14ac:dyDescent="0.25">
      <c r="A77" s="13">
        <v>13</v>
      </c>
      <c r="B77" s="338" t="s">
        <v>83</v>
      </c>
      <c r="C77" s="339"/>
      <c r="D77" s="339"/>
      <c r="E77" s="339"/>
      <c r="F77" s="339"/>
      <c r="G77" s="340"/>
      <c r="H77" s="15"/>
      <c r="I77" s="15"/>
      <c r="J77" s="15"/>
      <c r="K77" s="15"/>
      <c r="L77" s="15"/>
      <c r="M77" s="15"/>
    </row>
    <row r="78" spans="1:14" x14ac:dyDescent="0.25">
      <c r="A78" s="13"/>
      <c r="B78" s="26"/>
      <c r="C78" s="19"/>
      <c r="D78" s="19"/>
      <c r="E78" s="19"/>
      <c r="F78" s="19"/>
      <c r="G78" s="19"/>
      <c r="H78" s="19"/>
      <c r="I78" s="19"/>
      <c r="J78" s="19"/>
      <c r="K78" s="19"/>
      <c r="L78" s="19"/>
      <c r="M78" s="19"/>
    </row>
    <row r="79" spans="1:14" ht="102" x14ac:dyDescent="0.25">
      <c r="A79" s="4"/>
      <c r="B79" s="224" t="s">
        <v>84</v>
      </c>
      <c r="C79" s="226" t="s">
        <v>85</v>
      </c>
      <c r="D79" s="226" t="s">
        <v>86</v>
      </c>
      <c r="E79" s="226" t="s">
        <v>280</v>
      </c>
      <c r="F79" s="226" t="s">
        <v>88</v>
      </c>
      <c r="G79" s="226" t="s">
        <v>169</v>
      </c>
      <c r="H79" s="17"/>
      <c r="I79" s="17"/>
      <c r="J79" s="17"/>
      <c r="K79" s="17"/>
      <c r="L79" s="17"/>
      <c r="M79" s="17"/>
    </row>
    <row r="80" spans="1:14" x14ac:dyDescent="0.25">
      <c r="A80" s="4"/>
      <c r="B80" s="316" t="s">
        <v>90</v>
      </c>
      <c r="C80" s="5" t="s">
        <v>687</v>
      </c>
      <c r="D80" s="221">
        <v>1.1200000000000001</v>
      </c>
      <c r="E80" s="61">
        <v>3.92</v>
      </c>
      <c r="F80" s="61">
        <v>2.85</v>
      </c>
      <c r="G80" s="61">
        <v>3.32</v>
      </c>
      <c r="H80" s="62"/>
      <c r="I80" s="62"/>
      <c r="J80" s="62"/>
      <c r="K80" s="62"/>
      <c r="L80" s="62"/>
      <c r="M80" s="62"/>
    </row>
    <row r="81" spans="1:13" x14ac:dyDescent="0.25">
      <c r="A81" s="4"/>
      <c r="B81" s="316"/>
      <c r="C81" s="5" t="s">
        <v>92</v>
      </c>
      <c r="D81" s="220"/>
      <c r="E81" s="61"/>
      <c r="F81" s="61"/>
      <c r="G81" s="61"/>
      <c r="H81" s="62"/>
      <c r="I81" s="62"/>
      <c r="J81" s="62"/>
      <c r="K81" s="62"/>
      <c r="L81" s="62"/>
      <c r="M81" s="62"/>
    </row>
    <row r="82" spans="1:13" ht="25.5" x14ac:dyDescent="0.25">
      <c r="A82" s="4"/>
      <c r="B82" s="316"/>
      <c r="C82" s="241" t="s">
        <v>688</v>
      </c>
      <c r="D82" s="220">
        <v>-10.17</v>
      </c>
      <c r="E82" s="61">
        <v>-46.41</v>
      </c>
      <c r="F82" s="61" t="s">
        <v>939</v>
      </c>
      <c r="G82" s="61" t="s">
        <v>939</v>
      </c>
      <c r="H82" s="62"/>
      <c r="I82" s="62"/>
      <c r="J82" s="62"/>
      <c r="K82" s="62"/>
      <c r="L82" s="62"/>
      <c r="M82" s="62"/>
    </row>
    <row r="83" spans="1:13" x14ac:dyDescent="0.25">
      <c r="A83" s="4"/>
      <c r="B83" s="316"/>
      <c r="C83" s="5" t="s">
        <v>93</v>
      </c>
      <c r="D83" s="222"/>
      <c r="E83" s="61"/>
      <c r="F83" s="61"/>
      <c r="G83" s="61"/>
      <c r="H83" s="62"/>
      <c r="I83" s="62"/>
      <c r="J83" s="62"/>
      <c r="K83" s="62"/>
      <c r="L83" s="62"/>
      <c r="M83" s="62"/>
    </row>
    <row r="84" spans="1:13" x14ac:dyDescent="0.25">
      <c r="A84" s="4"/>
      <c r="B84" s="316" t="s">
        <v>94</v>
      </c>
      <c r="C84" s="5" t="s">
        <v>687</v>
      </c>
      <c r="D84" s="223">
        <v>32.119999999999997</v>
      </c>
      <c r="E84" s="64">
        <f>F69/E80</f>
        <v>9.4897959183673475</v>
      </c>
      <c r="F84" s="64">
        <f>I69/F80</f>
        <v>13.596491228070175</v>
      </c>
      <c r="G84" s="64">
        <f>K69/G80</f>
        <v>18.418674698795183</v>
      </c>
      <c r="H84" s="62"/>
      <c r="I84" s="62" t="s">
        <v>750</v>
      </c>
      <c r="J84" s="62"/>
      <c r="K84" s="62"/>
      <c r="L84" s="62"/>
      <c r="M84" s="62"/>
    </row>
    <row r="85" spans="1:13" x14ac:dyDescent="0.25">
      <c r="A85" s="4"/>
      <c r="B85" s="316"/>
      <c r="C85" s="5" t="s">
        <v>92</v>
      </c>
      <c r="D85" s="220"/>
      <c r="E85" s="61"/>
      <c r="F85" s="61"/>
      <c r="G85" s="61"/>
      <c r="H85" s="62"/>
      <c r="I85" s="62"/>
      <c r="J85" s="62"/>
      <c r="K85" s="62"/>
      <c r="L85" s="62"/>
      <c r="M85" s="62"/>
    </row>
    <row r="86" spans="1:13" ht="25.5" x14ac:dyDescent="0.2">
      <c r="A86" s="4"/>
      <c r="B86" s="316"/>
      <c r="C86" s="211" t="s">
        <v>688</v>
      </c>
      <c r="D86" s="222" t="s">
        <v>126</v>
      </c>
      <c r="E86" s="61">
        <v>-1.72</v>
      </c>
      <c r="F86" s="61" t="s">
        <v>939</v>
      </c>
      <c r="G86" s="61" t="s">
        <v>939</v>
      </c>
      <c r="H86" s="62"/>
      <c r="I86" s="62"/>
      <c r="J86" s="62"/>
      <c r="K86" s="62"/>
      <c r="L86" s="62"/>
      <c r="M86" s="62"/>
    </row>
    <row r="87" spans="1:13" x14ac:dyDescent="0.25">
      <c r="A87" s="4"/>
      <c r="B87" s="316"/>
      <c r="C87" s="5" t="s">
        <v>93</v>
      </c>
      <c r="D87" s="222"/>
      <c r="E87" s="61"/>
      <c r="F87" s="61"/>
      <c r="G87" s="61"/>
      <c r="H87" s="62"/>
      <c r="I87" s="62"/>
      <c r="J87" s="62"/>
      <c r="K87" s="62"/>
      <c r="L87" s="62"/>
      <c r="M87" s="62"/>
    </row>
    <row r="88" spans="1:13" x14ac:dyDescent="0.25">
      <c r="A88" s="4"/>
      <c r="B88" s="316" t="s">
        <v>95</v>
      </c>
      <c r="C88" s="5" t="s">
        <v>687</v>
      </c>
      <c r="D88" s="221">
        <v>13.76</v>
      </c>
      <c r="E88" s="64">
        <f>37046083/249700852*100</f>
        <v>14.836186061551764</v>
      </c>
      <c r="F88" s="94">
        <v>10.25</v>
      </c>
      <c r="G88" s="61">
        <v>10.67</v>
      </c>
      <c r="H88" s="62"/>
      <c r="I88" s="62"/>
      <c r="J88" s="62"/>
      <c r="K88" s="62"/>
      <c r="L88" s="62"/>
      <c r="M88" s="62"/>
    </row>
    <row r="89" spans="1:13" x14ac:dyDescent="0.25">
      <c r="A89" s="4"/>
      <c r="B89" s="316"/>
      <c r="C89" s="5" t="s">
        <v>92</v>
      </c>
      <c r="D89" s="220"/>
      <c r="E89" s="61"/>
      <c r="F89" s="61"/>
      <c r="G89" s="61"/>
      <c r="H89" s="62"/>
      <c r="I89" s="62"/>
      <c r="J89" s="62"/>
      <c r="K89" s="62"/>
      <c r="L89" s="62"/>
      <c r="M89" s="62"/>
    </row>
    <row r="90" spans="1:13" ht="25.5" x14ac:dyDescent="0.2">
      <c r="A90" s="4"/>
      <c r="B90" s="316"/>
      <c r="C90" s="211" t="s">
        <v>688</v>
      </c>
      <c r="D90" s="220">
        <v>-12.72</v>
      </c>
      <c r="E90" s="61">
        <v>-4.63</v>
      </c>
      <c r="F90" s="61" t="s">
        <v>939</v>
      </c>
      <c r="G90" s="61" t="s">
        <v>939</v>
      </c>
      <c r="H90" s="62"/>
      <c r="I90" s="62"/>
      <c r="J90" s="62"/>
      <c r="K90" s="62"/>
      <c r="L90" s="62"/>
      <c r="M90" s="62"/>
    </row>
    <row r="91" spans="1:13" x14ac:dyDescent="0.25">
      <c r="A91" s="4"/>
      <c r="B91" s="316"/>
      <c r="C91" s="5" t="s">
        <v>93</v>
      </c>
      <c r="D91" s="222"/>
      <c r="E91" s="61"/>
      <c r="F91" s="61"/>
      <c r="G91" s="61"/>
      <c r="H91" s="62"/>
      <c r="I91" s="62"/>
      <c r="J91" s="62"/>
      <c r="K91" s="62"/>
      <c r="L91" s="62"/>
      <c r="M91" s="62"/>
    </row>
    <row r="92" spans="1:13" x14ac:dyDescent="0.25">
      <c r="A92" s="4"/>
      <c r="B92" s="316" t="s">
        <v>96</v>
      </c>
      <c r="C92" s="5" t="s">
        <v>687</v>
      </c>
      <c r="D92" s="221">
        <v>12.98</v>
      </c>
      <c r="E92" s="64">
        <f>249700852/10008000</f>
        <v>24.950125099920065</v>
      </c>
      <c r="F92" s="61">
        <v>27.8</v>
      </c>
      <c r="G92" s="61">
        <v>31.12</v>
      </c>
      <c r="H92" s="62"/>
      <c r="I92" s="62"/>
      <c r="J92" s="62"/>
      <c r="K92" s="62"/>
      <c r="L92" s="62"/>
      <c r="M92" s="62"/>
    </row>
    <row r="93" spans="1:13" x14ac:dyDescent="0.25">
      <c r="A93" s="4"/>
      <c r="B93" s="316"/>
      <c r="C93" s="5" t="s">
        <v>92</v>
      </c>
      <c r="D93" s="220"/>
      <c r="E93" s="61"/>
      <c r="F93" s="61"/>
      <c r="G93" s="61"/>
      <c r="H93" s="62"/>
      <c r="I93" s="62"/>
      <c r="J93" s="62"/>
      <c r="K93" s="62"/>
      <c r="L93" s="62"/>
      <c r="M93" s="62"/>
    </row>
    <row r="94" spans="1:13" ht="25.5" x14ac:dyDescent="0.2">
      <c r="A94" s="4"/>
      <c r="B94" s="386"/>
      <c r="C94" s="211" t="s">
        <v>688</v>
      </c>
      <c r="D94" s="220">
        <v>74.97</v>
      </c>
      <c r="E94" s="61">
        <v>10.02</v>
      </c>
      <c r="F94" s="61" t="s">
        <v>939</v>
      </c>
      <c r="G94" s="61" t="s">
        <v>939</v>
      </c>
      <c r="H94" s="62"/>
      <c r="I94" s="62"/>
      <c r="J94" s="62"/>
      <c r="K94" s="62"/>
      <c r="L94" s="62"/>
      <c r="M94" s="62"/>
    </row>
    <row r="95" spans="1:13" x14ac:dyDescent="0.25">
      <c r="A95" s="4"/>
      <c r="B95" s="386"/>
      <c r="C95" s="5" t="s">
        <v>93</v>
      </c>
      <c r="D95" s="222"/>
      <c r="E95" s="61"/>
      <c r="F95" s="296"/>
      <c r="G95" s="296"/>
      <c r="H95" s="62"/>
      <c r="I95" s="62"/>
      <c r="J95" s="62"/>
      <c r="K95" s="62"/>
      <c r="L95" s="62"/>
      <c r="M95" s="62"/>
    </row>
    <row r="96" spans="1:13" s="57" customFormat="1" x14ac:dyDescent="0.25">
      <c r="B96" s="387"/>
      <c r="C96" s="388"/>
      <c r="D96" s="388"/>
      <c r="E96" s="388"/>
      <c r="F96" s="388"/>
      <c r="G96" s="389"/>
    </row>
    <row r="97" spans="1:13" x14ac:dyDescent="0.25">
      <c r="A97" s="4"/>
      <c r="B97" s="376" t="s">
        <v>689</v>
      </c>
      <c r="C97" s="377"/>
      <c r="D97" s="377"/>
      <c r="E97" s="377"/>
      <c r="F97" s="377"/>
      <c r="G97" s="378"/>
      <c r="H97" s="62"/>
      <c r="I97" s="62"/>
      <c r="J97" s="62"/>
      <c r="K97" s="62"/>
      <c r="L97" s="62"/>
      <c r="M97" s="62"/>
    </row>
    <row r="98" spans="1:13" x14ac:dyDescent="0.25">
      <c r="A98" s="4"/>
      <c r="B98" s="379" t="s">
        <v>128</v>
      </c>
      <c r="C98" s="380"/>
      <c r="D98" s="380"/>
      <c r="E98" s="380"/>
      <c r="F98" s="380"/>
      <c r="G98" s="381"/>
      <c r="H98" s="62"/>
      <c r="I98" s="62"/>
      <c r="J98" s="62"/>
      <c r="K98" s="62"/>
      <c r="L98" s="62"/>
      <c r="M98" s="62"/>
    </row>
    <row r="99" spans="1:13" x14ac:dyDescent="0.25">
      <c r="A99" s="4"/>
      <c r="B99" s="353"/>
      <c r="C99" s="354"/>
      <c r="D99" s="354"/>
      <c r="E99" s="354"/>
      <c r="F99" s="354"/>
      <c r="G99" s="355"/>
      <c r="H99" s="62"/>
      <c r="I99" s="62"/>
      <c r="J99" s="62"/>
      <c r="K99" s="62"/>
      <c r="L99" s="62"/>
      <c r="M99" s="62"/>
    </row>
    <row r="100" spans="1:13" x14ac:dyDescent="0.25">
      <c r="A100" s="26"/>
      <c r="B100" s="12"/>
      <c r="C100" s="323"/>
      <c r="D100" s="323"/>
      <c r="E100" s="323"/>
      <c r="F100" s="323"/>
      <c r="G100" s="323"/>
      <c r="H100" s="62"/>
      <c r="I100" s="62"/>
      <c r="J100" s="26"/>
      <c r="K100" s="26"/>
      <c r="L100" s="26"/>
      <c r="M100" s="26"/>
    </row>
    <row r="101" spans="1:13" x14ac:dyDescent="0.25">
      <c r="A101" s="13">
        <v>14</v>
      </c>
      <c r="B101" s="70" t="s">
        <v>99</v>
      </c>
      <c r="C101" s="324" t="s">
        <v>48</v>
      </c>
      <c r="D101" s="325"/>
      <c r="E101" s="325"/>
      <c r="F101" s="325"/>
      <c r="G101" s="326"/>
      <c r="H101" s="26"/>
      <c r="I101" s="26"/>
      <c r="J101" s="26"/>
      <c r="K101" s="26"/>
      <c r="L101" s="26"/>
      <c r="M101" s="26"/>
    </row>
    <row r="102" spans="1:13" x14ac:dyDescent="0.25">
      <c r="A102" s="71"/>
      <c r="B102" s="26"/>
      <c r="C102" s="84"/>
      <c r="D102" s="84"/>
      <c r="E102" s="84"/>
      <c r="F102" s="84"/>
      <c r="G102" s="84"/>
      <c r="H102" s="26"/>
      <c r="I102" s="26"/>
      <c r="J102" s="26"/>
      <c r="K102" s="26"/>
      <c r="L102" s="26"/>
      <c r="M102" s="26"/>
    </row>
    <row r="103" spans="1:13" x14ac:dyDescent="0.25">
      <c r="A103" s="26"/>
      <c r="B103" s="26"/>
      <c r="C103" s="84"/>
      <c r="D103" s="84"/>
      <c r="E103" s="84"/>
      <c r="F103" s="84"/>
      <c r="G103" s="84"/>
      <c r="H103" s="26"/>
      <c r="I103" s="26"/>
      <c r="J103" s="26"/>
      <c r="K103" s="26"/>
      <c r="L103" s="26"/>
      <c r="M103" s="26"/>
    </row>
    <row r="104" spans="1:13" x14ac:dyDescent="0.25">
      <c r="A104" s="26"/>
      <c r="I104" s="26"/>
      <c r="J104" s="26"/>
      <c r="K104" s="26"/>
      <c r="L104" s="26"/>
      <c r="M104" s="26"/>
    </row>
    <row r="105" spans="1:13" ht="12.75" customHeight="1" x14ac:dyDescent="0.25">
      <c r="A105" s="26"/>
      <c r="B105" s="374" t="s">
        <v>690</v>
      </c>
      <c r="C105" s="375"/>
      <c r="D105" s="375"/>
      <c r="E105" s="375"/>
      <c r="F105" s="375"/>
      <c r="G105" s="375"/>
      <c r="H105" s="375"/>
      <c r="J105" s="26"/>
      <c r="K105" s="26"/>
      <c r="L105" s="26"/>
      <c r="M105" s="26"/>
    </row>
    <row r="110" spans="1:13" x14ac:dyDescent="0.25">
      <c r="D110" s="127"/>
      <c r="E110" s="127"/>
    </row>
    <row r="111" spans="1:13" x14ac:dyDescent="0.25">
      <c r="E111" s="127"/>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M72"/>
    <mergeCell ref="B54:B55"/>
    <mergeCell ref="C54:E55"/>
    <mergeCell ref="B33:E33"/>
    <mergeCell ref="B35:E35"/>
    <mergeCell ref="B39:C39"/>
    <mergeCell ref="B42:E42"/>
    <mergeCell ref="C43:E43"/>
    <mergeCell ref="C44:E44"/>
    <mergeCell ref="C45:E45"/>
    <mergeCell ref="B46:E46"/>
    <mergeCell ref="B48:E48"/>
    <mergeCell ref="B51:E51"/>
    <mergeCell ref="B53:E53"/>
    <mergeCell ref="B88:B91"/>
    <mergeCell ref="B92:B95"/>
    <mergeCell ref="B73:M73"/>
    <mergeCell ref="C56:E56"/>
    <mergeCell ref="C57:E57"/>
    <mergeCell ref="B58:E58"/>
    <mergeCell ref="B59:E59"/>
    <mergeCell ref="C61:E61"/>
    <mergeCell ref="B67:B68"/>
    <mergeCell ref="C67:C68"/>
    <mergeCell ref="D67:D68"/>
    <mergeCell ref="E67:E68"/>
    <mergeCell ref="F67:H67"/>
    <mergeCell ref="I67:J67"/>
    <mergeCell ref="K67:M67"/>
    <mergeCell ref="B71:M71"/>
    <mergeCell ref="B74:M74"/>
    <mergeCell ref="B75:M75"/>
    <mergeCell ref="B77:G77"/>
    <mergeCell ref="B80:B83"/>
    <mergeCell ref="B84:B87"/>
    <mergeCell ref="B105:H105"/>
    <mergeCell ref="B96:G96"/>
    <mergeCell ref="B97:G97"/>
    <mergeCell ref="B98:G98"/>
    <mergeCell ref="B99:G99"/>
    <mergeCell ref="C100:G100"/>
    <mergeCell ref="C101:G10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zoomScale="90" zoomScaleNormal="90" workbookViewId="0">
      <selection activeCell="F15" sqref="F15"/>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433" t="s">
        <v>691</v>
      </c>
      <c r="D3" s="433"/>
      <c r="E3" s="433"/>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152</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692</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6" t="s">
        <v>693</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27" customHeight="1" x14ac:dyDescent="0.25">
      <c r="A17" s="13">
        <v>5</v>
      </c>
      <c r="B17" s="333" t="s">
        <v>14</v>
      </c>
      <c r="C17" s="372"/>
      <c r="D17" s="372"/>
      <c r="E17" s="372"/>
      <c r="F17" s="15"/>
      <c r="G17" s="15"/>
      <c r="H17" s="15"/>
      <c r="I17" s="15"/>
      <c r="J17" s="17"/>
      <c r="K17" s="17"/>
      <c r="L17" s="17"/>
      <c r="M17" s="17"/>
      <c r="N17" s="17"/>
    </row>
    <row r="18" spans="1:14" x14ac:dyDescent="0.25">
      <c r="A18" s="13"/>
      <c r="B18" s="228" t="s">
        <v>15</v>
      </c>
      <c r="C18" s="373" t="s">
        <v>16</v>
      </c>
      <c r="D18" s="373"/>
      <c r="E18" s="373"/>
      <c r="F18" s="19"/>
      <c r="G18" s="17"/>
      <c r="H18" s="17"/>
      <c r="I18" s="17"/>
      <c r="J18" s="17"/>
      <c r="K18" s="17"/>
      <c r="L18" s="17"/>
      <c r="M18" s="17"/>
      <c r="N18" s="17"/>
    </row>
    <row r="19" spans="1:14" ht="25.5" x14ac:dyDescent="0.25">
      <c r="A19" s="13"/>
      <c r="B19" s="228" t="s">
        <v>694</v>
      </c>
      <c r="C19" s="373" t="s">
        <v>16</v>
      </c>
      <c r="D19" s="373"/>
      <c r="E19" s="373"/>
      <c r="F19" s="19"/>
      <c r="G19" s="17"/>
      <c r="H19" s="26"/>
      <c r="I19" s="17"/>
      <c r="J19" s="17"/>
      <c r="K19" s="17"/>
      <c r="L19" s="17"/>
      <c r="M19" s="17"/>
      <c r="N19" s="17"/>
    </row>
    <row r="20" spans="1:14" x14ac:dyDescent="0.25">
      <c r="A20" s="13"/>
      <c r="B20" s="228" t="s">
        <v>664</v>
      </c>
      <c r="C20" s="373" t="s">
        <v>16</v>
      </c>
      <c r="D20" s="373"/>
      <c r="E20" s="373"/>
      <c r="F20" s="19"/>
      <c r="G20" s="17"/>
      <c r="H20" s="17"/>
      <c r="I20" s="17"/>
      <c r="J20" s="17"/>
      <c r="K20" s="17"/>
      <c r="L20" s="17"/>
      <c r="M20" s="17"/>
      <c r="N20" s="17"/>
    </row>
    <row r="21" spans="1:14" x14ac:dyDescent="0.25">
      <c r="A21" s="13"/>
      <c r="B21" s="228" t="s">
        <v>19</v>
      </c>
      <c r="C21" s="373" t="s">
        <v>16</v>
      </c>
      <c r="D21" s="373"/>
      <c r="E21" s="373"/>
      <c r="F21" s="19"/>
      <c r="G21" s="17"/>
      <c r="H21" s="17"/>
      <c r="I21" s="17"/>
      <c r="J21" s="17"/>
      <c r="K21" s="17"/>
      <c r="L21" s="17"/>
      <c r="M21" s="17"/>
      <c r="N21" s="17"/>
    </row>
    <row r="22" spans="1:14" x14ac:dyDescent="0.25">
      <c r="A22" s="13"/>
      <c r="B22" s="20" t="s">
        <v>20</v>
      </c>
      <c r="C22" s="373" t="s">
        <v>16</v>
      </c>
      <c r="D22" s="373"/>
      <c r="E22" s="373"/>
      <c r="F22" s="19"/>
      <c r="G22" s="17"/>
      <c r="H22" s="17"/>
      <c r="I22" s="17"/>
      <c r="J22" s="17"/>
      <c r="K22" s="17"/>
      <c r="L22" s="17"/>
      <c r="M22" s="17"/>
      <c r="N22" s="17"/>
    </row>
    <row r="23" spans="1:14" x14ac:dyDescent="0.25">
      <c r="A23" s="13"/>
      <c r="B23" s="353"/>
      <c r="C23" s="354"/>
      <c r="D23" s="354"/>
      <c r="E23" s="355"/>
      <c r="F23" s="19"/>
      <c r="G23" s="17" t="s">
        <v>750</v>
      </c>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30"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325</v>
      </c>
      <c r="E28" s="226" t="s">
        <v>27</v>
      </c>
      <c r="F28" s="19"/>
      <c r="G28" s="26"/>
      <c r="H28" s="26"/>
      <c r="I28" s="26"/>
      <c r="J28" s="26"/>
      <c r="K28" s="26"/>
      <c r="L28" s="26"/>
      <c r="M28" s="26"/>
      <c r="N28" s="26"/>
    </row>
    <row r="29" spans="1:14" ht="12.75" customHeight="1" x14ac:dyDescent="0.25">
      <c r="A29" s="13"/>
      <c r="B29" s="230" t="s">
        <v>28</v>
      </c>
      <c r="C29" s="136">
        <v>7058.67</v>
      </c>
      <c r="D29" s="232">
        <v>6628.54</v>
      </c>
      <c r="E29" s="255">
        <v>8277.56</v>
      </c>
      <c r="F29" s="19"/>
      <c r="G29" s="26"/>
      <c r="H29" s="26"/>
      <c r="I29" s="26"/>
      <c r="J29" s="26"/>
      <c r="K29" s="26"/>
      <c r="L29" s="26"/>
      <c r="M29" s="26"/>
      <c r="N29" s="26"/>
    </row>
    <row r="30" spans="1:14" x14ac:dyDescent="0.25">
      <c r="A30" s="13"/>
      <c r="B30" s="230" t="s">
        <v>29</v>
      </c>
      <c r="C30" s="232">
        <v>270.3</v>
      </c>
      <c r="D30" s="232">
        <v>235.86</v>
      </c>
      <c r="E30" s="256">
        <v>290.66000000000003</v>
      </c>
      <c r="F30" s="19"/>
      <c r="G30" s="26"/>
      <c r="H30" s="26"/>
      <c r="I30" s="26"/>
      <c r="J30" s="26"/>
      <c r="K30" s="26"/>
      <c r="L30" s="26"/>
      <c r="M30" s="26"/>
      <c r="N30" s="26"/>
    </row>
    <row r="31" spans="1:14" x14ac:dyDescent="0.25">
      <c r="A31" s="13"/>
      <c r="B31" s="230" t="s">
        <v>30</v>
      </c>
      <c r="C31" s="136">
        <v>1111.8</v>
      </c>
      <c r="D31" s="136">
        <v>1111.8</v>
      </c>
      <c r="E31" s="136">
        <v>1111.8</v>
      </c>
      <c r="F31" s="19"/>
      <c r="G31" s="26"/>
      <c r="H31" s="26"/>
      <c r="I31" s="26"/>
      <c r="J31" s="26"/>
      <c r="K31" s="26"/>
      <c r="L31" s="26"/>
      <c r="M31" s="26"/>
      <c r="N31" s="26"/>
    </row>
    <row r="32" spans="1:14" x14ac:dyDescent="0.25">
      <c r="A32" s="13"/>
      <c r="B32" s="230" t="s">
        <v>31</v>
      </c>
      <c r="C32" s="136">
        <v>2614.5500000000002</v>
      </c>
      <c r="D32" s="232">
        <v>2850.41</v>
      </c>
      <c r="E32" s="257">
        <v>3141.07</v>
      </c>
      <c r="F32" s="19"/>
      <c r="G32" s="26"/>
      <c r="H32" s="26"/>
      <c r="I32" s="26"/>
      <c r="J32" s="26"/>
      <c r="K32" s="26"/>
      <c r="L32" s="26"/>
      <c r="M32" s="26"/>
      <c r="N32" s="26"/>
    </row>
    <row r="33" spans="1:14" x14ac:dyDescent="0.25">
      <c r="A33" s="13"/>
      <c r="B33" s="353"/>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27.75" customHeight="1"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t="s">
        <v>750</v>
      </c>
      <c r="E37" s="17"/>
      <c r="F37" s="17"/>
      <c r="G37" s="26"/>
      <c r="H37" s="26"/>
      <c r="I37" s="26"/>
      <c r="J37" s="26"/>
      <c r="K37" s="26"/>
      <c r="L37" s="26"/>
      <c r="M37" s="26"/>
      <c r="N37" s="26"/>
    </row>
    <row r="38" spans="1:14" x14ac:dyDescent="0.25">
      <c r="A38" s="13"/>
      <c r="B38" s="233" t="s">
        <v>37</v>
      </c>
      <c r="C38" s="251" t="s">
        <v>873</v>
      </c>
      <c r="D38" s="17"/>
      <c r="E38" s="17"/>
      <c r="F38" s="17"/>
      <c r="G38" s="26"/>
      <c r="H38" s="26"/>
      <c r="I38" s="26"/>
      <c r="J38" s="26"/>
      <c r="K38" s="26"/>
      <c r="L38" s="26"/>
      <c r="M38" s="26"/>
      <c r="N38" s="26"/>
    </row>
    <row r="39" spans="1:14" x14ac:dyDescent="0.25">
      <c r="A39" s="13"/>
      <c r="B39" s="382"/>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ht="30.75" customHeight="1"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792</v>
      </c>
      <c r="D43" s="351"/>
      <c r="E43" s="352"/>
      <c r="F43" s="17"/>
      <c r="G43" s="26" t="s">
        <v>750</v>
      </c>
      <c r="H43" s="26"/>
      <c r="I43" s="26"/>
      <c r="J43" s="26"/>
      <c r="K43" s="26"/>
      <c r="L43" s="26"/>
      <c r="M43" s="26"/>
      <c r="N43" s="26"/>
    </row>
    <row r="44" spans="1:14" x14ac:dyDescent="0.25">
      <c r="A44" s="13"/>
      <c r="B44" s="227" t="s">
        <v>36</v>
      </c>
      <c r="C44" s="350" t="s">
        <v>792</v>
      </c>
      <c r="D44" s="351"/>
      <c r="E44" s="352"/>
      <c r="F44" s="17" t="s">
        <v>750</v>
      </c>
      <c r="G44" s="26"/>
      <c r="H44" s="26"/>
      <c r="I44" s="26"/>
      <c r="J44" s="26"/>
      <c r="K44" s="26"/>
      <c r="L44" s="26"/>
      <c r="M44" s="26"/>
      <c r="N44" s="26"/>
    </row>
    <row r="45" spans="1:14" x14ac:dyDescent="0.25">
      <c r="A45" s="13"/>
      <c r="B45" s="227" t="s">
        <v>37</v>
      </c>
      <c r="C45" s="350" t="s">
        <v>792</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c r="N48" s="26"/>
    </row>
    <row r="49" spans="1:14" ht="25.5" x14ac:dyDescent="0.25">
      <c r="A49" s="29"/>
      <c r="B49" s="225" t="s">
        <v>42</v>
      </c>
      <c r="C49" s="32" t="s">
        <v>43</v>
      </c>
      <c r="D49" s="33" t="s">
        <v>44</v>
      </c>
      <c r="E49" s="32" t="s">
        <v>268</v>
      </c>
      <c r="F49" s="26"/>
      <c r="G49" s="26"/>
      <c r="H49" s="26"/>
      <c r="I49" s="26"/>
      <c r="J49" s="26"/>
      <c r="K49" s="26"/>
      <c r="L49" s="26"/>
      <c r="M49" s="26"/>
      <c r="N49" s="26"/>
    </row>
    <row r="50" spans="1:14" ht="89.25" x14ac:dyDescent="0.25">
      <c r="A50" s="34"/>
      <c r="B50" s="94" t="s">
        <v>695</v>
      </c>
      <c r="C50" s="94" t="s">
        <v>696</v>
      </c>
      <c r="D50" s="129" t="s">
        <v>126</v>
      </c>
      <c r="E50" s="130" t="s">
        <v>126</v>
      </c>
      <c r="F50" s="26"/>
      <c r="G50" s="26"/>
      <c r="H50" s="26"/>
      <c r="I50" s="26"/>
      <c r="J50" s="26"/>
      <c r="K50" s="26"/>
      <c r="L50" s="26"/>
      <c r="M50" s="26"/>
      <c r="N50" s="26"/>
    </row>
    <row r="51" spans="1:14" x14ac:dyDescent="0.25">
      <c r="A51" s="36"/>
      <c r="B51" s="345" t="s">
        <v>697</v>
      </c>
      <c r="C51" s="346"/>
      <c r="D51" s="346"/>
      <c r="E51" s="347"/>
      <c r="F51" s="19"/>
      <c r="G51" s="19"/>
      <c r="H51" s="19"/>
      <c r="I51" s="26"/>
      <c r="J51" s="26"/>
      <c r="K51" s="26"/>
      <c r="L51" s="26"/>
      <c r="M51" s="26"/>
      <c r="N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c r="N53" s="26"/>
    </row>
    <row r="54" spans="1:14" x14ac:dyDescent="0.25">
      <c r="A54" s="34"/>
      <c r="B54" s="357" t="s">
        <v>50</v>
      </c>
      <c r="C54" s="394" t="s">
        <v>696</v>
      </c>
      <c r="D54" s="395"/>
      <c r="E54" s="396"/>
      <c r="F54" s="26"/>
      <c r="G54" s="26"/>
      <c r="H54" s="26"/>
      <c r="I54" s="26"/>
      <c r="J54" s="26"/>
      <c r="K54" s="2"/>
      <c r="L54" s="26"/>
      <c r="M54" s="26"/>
      <c r="N54" s="26"/>
    </row>
    <row r="55" spans="1:14" ht="48" customHeight="1" x14ac:dyDescent="0.25">
      <c r="A55" s="34"/>
      <c r="B55" s="358"/>
      <c r="C55" s="397"/>
      <c r="D55" s="398"/>
      <c r="E55" s="399"/>
      <c r="F55" s="26"/>
      <c r="G55" s="26"/>
      <c r="H55" s="26"/>
      <c r="I55" s="26"/>
      <c r="J55" s="26"/>
      <c r="K55" s="2"/>
      <c r="L55" s="26"/>
      <c r="M55" s="26"/>
      <c r="N55" s="26"/>
    </row>
    <row r="56" spans="1:14" x14ac:dyDescent="0.25">
      <c r="A56" s="29"/>
      <c r="B56" s="39" t="s">
        <v>54</v>
      </c>
      <c r="C56" s="344" t="s">
        <v>248</v>
      </c>
      <c r="D56" s="344"/>
      <c r="E56" s="344"/>
      <c r="F56" s="26"/>
      <c r="G56" s="26"/>
      <c r="H56" s="26"/>
      <c r="I56" s="26"/>
      <c r="J56" s="26"/>
      <c r="K56" s="12"/>
      <c r="L56" s="26"/>
      <c r="M56" s="26"/>
      <c r="N56" s="26"/>
    </row>
    <row r="57" spans="1:14" x14ac:dyDescent="0.25">
      <c r="A57" s="34"/>
      <c r="B57" s="39" t="s">
        <v>55</v>
      </c>
      <c r="C57" s="344" t="s">
        <v>248</v>
      </c>
      <c r="D57" s="344"/>
      <c r="E57" s="344"/>
      <c r="F57" s="26"/>
      <c r="G57" s="26"/>
      <c r="H57" s="26"/>
      <c r="I57" s="26"/>
      <c r="J57" s="26"/>
      <c r="K57" s="40"/>
      <c r="L57" s="26"/>
      <c r="M57" s="26"/>
      <c r="N57" s="26"/>
    </row>
    <row r="58" spans="1:14" x14ac:dyDescent="0.25">
      <c r="A58" s="34"/>
      <c r="B58" s="345" t="s">
        <v>698</v>
      </c>
      <c r="C58" s="346"/>
      <c r="D58" s="346"/>
      <c r="E58" s="347"/>
      <c r="F58" s="26"/>
      <c r="G58" s="26"/>
      <c r="H58" s="26"/>
      <c r="I58" s="26"/>
      <c r="J58" s="26"/>
      <c r="K58" s="40"/>
      <c r="L58" s="26"/>
      <c r="M58" s="26"/>
      <c r="N58" s="26"/>
    </row>
    <row r="59" spans="1:14" s="76" customFormat="1" x14ac:dyDescent="0.2">
      <c r="A59" s="41" t="s">
        <v>57</v>
      </c>
      <c r="B59" s="384" t="s">
        <v>58</v>
      </c>
      <c r="C59" s="384"/>
      <c r="D59" s="384"/>
      <c r="E59" s="384"/>
      <c r="F59" s="239"/>
      <c r="G59" s="239"/>
      <c r="H59" s="239"/>
      <c r="I59" s="239"/>
      <c r="J59" s="239"/>
      <c r="K59" s="239"/>
      <c r="L59" s="239"/>
      <c r="M59" s="239"/>
      <c r="N59" s="239"/>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27" t="s">
        <v>62</v>
      </c>
      <c r="C65" s="230" t="s">
        <v>699</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700</v>
      </c>
      <c r="D67" s="372" t="s">
        <v>333</v>
      </c>
      <c r="E67" s="336" t="s">
        <v>294</v>
      </c>
      <c r="F67" s="327" t="s">
        <v>685</v>
      </c>
      <c r="G67" s="328"/>
      <c r="H67" s="329"/>
      <c r="I67" s="330" t="s">
        <v>69</v>
      </c>
      <c r="J67" s="330"/>
      <c r="K67" s="330"/>
      <c r="L67" s="330" t="s">
        <v>70</v>
      </c>
      <c r="M67" s="330"/>
      <c r="N67" s="330"/>
    </row>
    <row r="68" spans="1:14"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4" x14ac:dyDescent="0.25">
      <c r="A69" s="4"/>
      <c r="B69" s="227" t="s">
        <v>165</v>
      </c>
      <c r="C69" s="128">
        <v>64.900000000000006</v>
      </c>
      <c r="D69" s="54">
        <v>63.5</v>
      </c>
      <c r="E69" s="54">
        <v>67.599999999999994</v>
      </c>
      <c r="F69" s="54">
        <v>68.45</v>
      </c>
      <c r="G69" s="54">
        <v>74.150000000000006</v>
      </c>
      <c r="H69" s="54">
        <v>63.4</v>
      </c>
      <c r="I69" s="53">
        <v>53</v>
      </c>
      <c r="J69" s="53">
        <v>72.900000000000006</v>
      </c>
      <c r="K69" s="53">
        <v>40.85</v>
      </c>
      <c r="L69" s="53">
        <v>51.25</v>
      </c>
      <c r="M69" s="53">
        <v>51.25</v>
      </c>
      <c r="N69" s="53">
        <v>51.25</v>
      </c>
    </row>
    <row r="70" spans="1:14" ht="25.5" x14ac:dyDescent="0.25">
      <c r="A70" s="4"/>
      <c r="B70" s="227" t="s">
        <v>686</v>
      </c>
      <c r="C70" s="128">
        <v>10301.049999999999</v>
      </c>
      <c r="D70" s="54">
        <v>10585.2</v>
      </c>
      <c r="E70" s="54">
        <v>10771.8</v>
      </c>
      <c r="F70" s="53">
        <v>11623.9</v>
      </c>
      <c r="G70" s="53">
        <v>11760.2</v>
      </c>
      <c r="H70" s="53">
        <v>10004.549999999999</v>
      </c>
      <c r="I70" s="53">
        <v>8597.75</v>
      </c>
      <c r="J70" s="53">
        <v>12430.5</v>
      </c>
      <c r="K70" s="53">
        <v>7511.1</v>
      </c>
      <c r="L70" s="53">
        <v>14690.7</v>
      </c>
      <c r="M70" s="53">
        <v>15431.75</v>
      </c>
      <c r="N70" s="53">
        <v>8055.8</v>
      </c>
    </row>
    <row r="71" spans="1:14" ht="13.5" x14ac:dyDescent="0.25">
      <c r="A71" s="4"/>
      <c r="B71" s="383" t="s">
        <v>156</v>
      </c>
      <c r="C71" s="383"/>
      <c r="D71" s="383"/>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t="s">
        <v>750</v>
      </c>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224" t="s">
        <v>84</v>
      </c>
      <c r="C79" s="226" t="s">
        <v>85</v>
      </c>
      <c r="D79" s="226" t="s">
        <v>86</v>
      </c>
      <c r="E79" s="226" t="s">
        <v>280</v>
      </c>
      <c r="F79" s="266" t="s">
        <v>88</v>
      </c>
      <c r="G79" s="266" t="s">
        <v>169</v>
      </c>
      <c r="H79" s="17"/>
      <c r="I79" s="17"/>
      <c r="J79" s="17"/>
      <c r="K79" s="17"/>
      <c r="L79" s="17"/>
      <c r="M79" s="17"/>
      <c r="N79" s="17"/>
    </row>
    <row r="80" spans="1:14" ht="12.75" customHeight="1" x14ac:dyDescent="0.2">
      <c r="A80" s="4"/>
      <c r="B80" s="316" t="s">
        <v>90</v>
      </c>
      <c r="C80" s="5" t="s">
        <v>701</v>
      </c>
      <c r="D80" s="91">
        <v>6.33</v>
      </c>
      <c r="E80" s="232">
        <v>2.83</v>
      </c>
      <c r="F80" s="61">
        <v>2.12</v>
      </c>
      <c r="G80" s="61">
        <v>2.61</v>
      </c>
      <c r="H80" s="62"/>
      <c r="I80" s="62"/>
      <c r="J80" s="62"/>
      <c r="K80" s="62"/>
      <c r="L80" s="62"/>
      <c r="M80" s="62"/>
      <c r="N80" s="62"/>
    </row>
    <row r="81" spans="1:14" x14ac:dyDescent="0.25">
      <c r="A81" s="4"/>
      <c r="B81" s="316"/>
      <c r="C81" s="5" t="s">
        <v>92</v>
      </c>
      <c r="D81" s="229"/>
      <c r="E81" s="232"/>
      <c r="F81" s="61"/>
      <c r="G81" s="61"/>
      <c r="H81" s="62"/>
      <c r="I81" s="62"/>
      <c r="J81" s="62"/>
      <c r="K81" s="62"/>
      <c r="L81" s="62"/>
      <c r="M81" s="62"/>
      <c r="N81" s="62"/>
    </row>
    <row r="82" spans="1:14" x14ac:dyDescent="0.2">
      <c r="A82" s="4"/>
      <c r="B82" s="316"/>
      <c r="C82" s="211" t="s">
        <v>702</v>
      </c>
      <c r="D82" s="229">
        <v>82.74</v>
      </c>
      <c r="E82" s="232">
        <v>74.540000000000006</v>
      </c>
      <c r="F82" s="61">
        <v>95.21</v>
      </c>
      <c r="G82" s="61">
        <v>75.680000000000007</v>
      </c>
      <c r="H82" s="62"/>
      <c r="I82" s="62"/>
      <c r="J82" s="62"/>
      <c r="K82" s="62"/>
      <c r="L82" s="62"/>
      <c r="M82" s="62"/>
      <c r="N82" s="62"/>
    </row>
    <row r="83" spans="1:14" x14ac:dyDescent="0.25">
      <c r="A83" s="4"/>
      <c r="B83" s="316"/>
      <c r="C83" s="5" t="s">
        <v>93</v>
      </c>
      <c r="D83" s="92"/>
      <c r="E83" s="232"/>
      <c r="F83" s="61"/>
      <c r="G83" s="61"/>
      <c r="H83" s="62"/>
      <c r="I83" s="62"/>
      <c r="J83" s="62"/>
      <c r="K83" s="62"/>
      <c r="L83" s="62"/>
      <c r="M83" s="62"/>
      <c r="N83" s="62"/>
    </row>
    <row r="84" spans="1:14" x14ac:dyDescent="0.2">
      <c r="A84" s="4"/>
      <c r="B84" s="316" t="s">
        <v>94</v>
      </c>
      <c r="C84" s="5" t="s">
        <v>701</v>
      </c>
      <c r="D84" s="93">
        <v>9.9499999999999993</v>
      </c>
      <c r="E84" s="235">
        <f>F69/E80</f>
        <v>24.187279151943464</v>
      </c>
      <c r="F84" s="270">
        <f>I69/F80</f>
        <v>25</v>
      </c>
      <c r="G84" s="270">
        <f>L69/G80</f>
        <v>19.636015325670499</v>
      </c>
      <c r="H84" s="62"/>
      <c r="I84" s="62"/>
      <c r="J84" s="62"/>
      <c r="K84" s="62"/>
      <c r="L84" s="62"/>
      <c r="M84" s="62"/>
      <c r="N84" s="62"/>
    </row>
    <row r="85" spans="1:14" x14ac:dyDescent="0.25">
      <c r="A85" s="4"/>
      <c r="B85" s="316"/>
      <c r="C85" s="5" t="s">
        <v>92</v>
      </c>
      <c r="D85" s="229"/>
      <c r="E85" s="232"/>
      <c r="F85" s="61"/>
      <c r="G85" s="61"/>
      <c r="H85" s="62"/>
      <c r="I85" s="62"/>
      <c r="J85" s="62"/>
      <c r="K85" s="62"/>
      <c r="L85" s="62"/>
      <c r="M85" s="62"/>
      <c r="N85" s="62"/>
    </row>
    <row r="86" spans="1:14" x14ac:dyDescent="0.2">
      <c r="A86" s="4"/>
      <c r="B86" s="316"/>
      <c r="C86" s="211" t="s">
        <v>702</v>
      </c>
      <c r="D86" s="92">
        <v>21.66</v>
      </c>
      <c r="E86" s="235">
        <f>1432/E82</f>
        <v>19.211161792326266</v>
      </c>
      <c r="F86" s="64">
        <f>997.7/F82</f>
        <v>10.478941287679866</v>
      </c>
      <c r="G86" s="64">
        <f>1950.75/G82</f>
        <v>25.776294926004226</v>
      </c>
      <c r="H86" s="62"/>
      <c r="I86" s="62"/>
      <c r="J86" s="62"/>
      <c r="K86" s="62"/>
      <c r="L86" s="62"/>
      <c r="M86" s="62"/>
      <c r="N86" s="62"/>
    </row>
    <row r="87" spans="1:14" x14ac:dyDescent="0.25">
      <c r="A87" s="4"/>
      <c r="B87" s="316"/>
      <c r="C87" s="5" t="s">
        <v>93</v>
      </c>
      <c r="D87" s="92"/>
      <c r="E87" s="232"/>
      <c r="F87" s="61"/>
      <c r="G87" s="61"/>
      <c r="H87" s="62"/>
      <c r="I87" s="62"/>
      <c r="J87" s="62"/>
      <c r="K87" s="62"/>
      <c r="L87" s="62"/>
      <c r="M87" s="62"/>
      <c r="N87" s="62"/>
    </row>
    <row r="88" spans="1:14" x14ac:dyDescent="0.2">
      <c r="A88" s="4"/>
      <c r="B88" s="316" t="s">
        <v>95</v>
      </c>
      <c r="C88" s="5" t="s">
        <v>701</v>
      </c>
      <c r="D88" s="91">
        <v>25.02</v>
      </c>
      <c r="E88" s="235">
        <f>27029160/372634907*100</f>
        <v>7.2535233528189025</v>
      </c>
      <c r="F88" s="61">
        <v>5.95</v>
      </c>
      <c r="G88" s="61">
        <v>6.83</v>
      </c>
      <c r="H88" s="62"/>
      <c r="I88" s="62"/>
      <c r="J88" s="62"/>
      <c r="K88" s="62"/>
      <c r="L88" s="62"/>
      <c r="M88" s="62"/>
      <c r="N88" s="62"/>
    </row>
    <row r="89" spans="1:14" x14ac:dyDescent="0.25">
      <c r="A89" s="4"/>
      <c r="B89" s="316"/>
      <c r="C89" s="5" t="s">
        <v>92</v>
      </c>
      <c r="D89" s="229"/>
      <c r="E89" s="232"/>
      <c r="F89" s="61"/>
      <c r="G89" s="61"/>
      <c r="H89" s="62"/>
      <c r="I89" s="62"/>
      <c r="J89" s="62"/>
      <c r="K89" s="62"/>
      <c r="L89" s="62"/>
      <c r="M89" s="62"/>
      <c r="N89" s="62"/>
    </row>
    <row r="90" spans="1:14" x14ac:dyDescent="0.2">
      <c r="A90" s="4"/>
      <c r="B90" s="316"/>
      <c r="C90" s="211" t="s">
        <v>702</v>
      </c>
      <c r="D90" s="229">
        <v>14.73</v>
      </c>
      <c r="E90" s="235">
        <f>11063.51/88438.48*100</f>
        <v>12.509837346820074</v>
      </c>
      <c r="F90" s="61">
        <v>13.8</v>
      </c>
      <c r="G90" s="61">
        <v>10.27</v>
      </c>
      <c r="H90" s="62"/>
      <c r="I90" s="62"/>
      <c r="J90" s="62"/>
      <c r="K90" s="62"/>
      <c r="L90" s="62"/>
      <c r="M90" s="62"/>
      <c r="N90" s="62"/>
    </row>
    <row r="91" spans="1:14" x14ac:dyDescent="0.25">
      <c r="A91" s="4"/>
      <c r="B91" s="316"/>
      <c r="C91" s="5" t="s">
        <v>93</v>
      </c>
      <c r="D91" s="92"/>
      <c r="E91" s="232"/>
      <c r="F91" s="61"/>
      <c r="G91" s="61"/>
      <c r="H91" s="62"/>
      <c r="I91" s="62"/>
      <c r="J91" s="62"/>
      <c r="K91" s="66"/>
      <c r="L91" s="62"/>
      <c r="M91" s="62"/>
      <c r="N91" s="62"/>
    </row>
    <row r="92" spans="1:14" x14ac:dyDescent="0.2">
      <c r="A92" s="4"/>
      <c r="B92" s="316" t="s">
        <v>96</v>
      </c>
      <c r="C92" s="5" t="s">
        <v>701</v>
      </c>
      <c r="D92" s="91">
        <v>20.52</v>
      </c>
      <c r="E92" s="235">
        <f>372634907/11118000</f>
        <v>33.516361485878754</v>
      </c>
      <c r="F92" s="61">
        <v>35.64</v>
      </c>
      <c r="G92" s="61">
        <v>38.25</v>
      </c>
      <c r="H92" s="62"/>
      <c r="I92" s="62"/>
      <c r="J92" s="62"/>
      <c r="K92" s="62"/>
      <c r="L92" s="62"/>
      <c r="M92" s="62"/>
      <c r="N92" s="62"/>
    </row>
    <row r="93" spans="1:14" x14ac:dyDescent="0.25">
      <c r="A93" s="4"/>
      <c r="B93" s="316"/>
      <c r="C93" s="5" t="s">
        <v>92</v>
      </c>
      <c r="D93" s="229"/>
      <c r="E93" s="232"/>
      <c r="F93" s="61"/>
      <c r="G93" s="61"/>
      <c r="H93" s="62"/>
      <c r="I93" s="62"/>
      <c r="J93" s="62"/>
      <c r="K93" s="62"/>
      <c r="L93" s="62"/>
      <c r="M93" s="62"/>
      <c r="N93" s="62"/>
    </row>
    <row r="94" spans="1:14" x14ac:dyDescent="0.2">
      <c r="A94" s="4"/>
      <c r="B94" s="386"/>
      <c r="C94" s="211" t="s">
        <v>702</v>
      </c>
      <c r="D94" s="229">
        <v>568.66</v>
      </c>
      <c r="E94" s="232">
        <v>630.71</v>
      </c>
      <c r="F94" s="61">
        <v>691.63</v>
      </c>
      <c r="G94" s="61">
        <v>763.53</v>
      </c>
      <c r="H94" s="62"/>
      <c r="I94" s="62"/>
      <c r="J94" s="62"/>
      <c r="K94" s="62"/>
      <c r="L94" s="62"/>
      <c r="M94" s="62"/>
      <c r="N94" s="62"/>
    </row>
    <row r="95" spans="1:14" x14ac:dyDescent="0.25">
      <c r="A95" s="4"/>
      <c r="B95" s="386"/>
      <c r="C95" s="5" t="s">
        <v>93</v>
      </c>
      <c r="D95" s="92"/>
      <c r="E95" s="232"/>
      <c r="F95" s="296"/>
      <c r="G95" s="272"/>
      <c r="H95" s="62"/>
      <c r="I95" s="62"/>
      <c r="J95" s="62"/>
      <c r="K95" s="62"/>
      <c r="L95" s="62"/>
      <c r="M95" s="62"/>
      <c r="N95" s="62"/>
    </row>
    <row r="96" spans="1:14" s="57" customFormat="1" x14ac:dyDescent="0.25">
      <c r="B96" s="387"/>
      <c r="C96" s="388"/>
      <c r="D96" s="388"/>
      <c r="E96" s="388"/>
      <c r="F96" s="388"/>
      <c r="G96" s="389"/>
    </row>
    <row r="97" spans="1:14" x14ac:dyDescent="0.25">
      <c r="A97" s="4"/>
      <c r="B97" s="376" t="s">
        <v>703</v>
      </c>
      <c r="C97" s="377"/>
      <c r="D97" s="377"/>
      <c r="E97" s="377"/>
      <c r="F97" s="377"/>
      <c r="G97" s="378"/>
      <c r="H97" s="62"/>
      <c r="I97" s="62"/>
      <c r="J97" s="62"/>
      <c r="K97" s="62"/>
      <c r="L97" s="62"/>
      <c r="M97" s="62"/>
      <c r="N97" s="62"/>
    </row>
    <row r="98" spans="1:14" x14ac:dyDescent="0.25">
      <c r="A98" s="4"/>
      <c r="B98" s="379" t="s">
        <v>128</v>
      </c>
      <c r="C98" s="380"/>
      <c r="D98" s="380"/>
      <c r="E98" s="380"/>
      <c r="F98" s="380"/>
      <c r="G98" s="381"/>
      <c r="H98" s="62"/>
      <c r="I98" s="62"/>
      <c r="J98" s="62"/>
      <c r="K98" s="62"/>
      <c r="L98" s="62"/>
      <c r="M98" s="62"/>
      <c r="N98" s="62"/>
    </row>
    <row r="99" spans="1:14" x14ac:dyDescent="0.25">
      <c r="A99" s="4"/>
      <c r="B99" s="353"/>
      <c r="C99" s="354"/>
      <c r="D99" s="354"/>
      <c r="E99" s="354"/>
      <c r="F99" s="354"/>
      <c r="G99" s="355"/>
      <c r="H99" s="62"/>
      <c r="I99" s="62"/>
      <c r="J99" s="62"/>
      <c r="K99" s="62"/>
      <c r="L99" s="62"/>
      <c r="M99" s="62"/>
      <c r="N99" s="62"/>
    </row>
    <row r="100" spans="1:14" x14ac:dyDescent="0.25">
      <c r="A100" s="26"/>
      <c r="B100" s="12"/>
      <c r="C100" s="323"/>
      <c r="D100" s="323"/>
      <c r="E100" s="323"/>
      <c r="F100" s="323"/>
      <c r="G100" s="323"/>
      <c r="H100" s="62"/>
      <c r="I100" s="62"/>
      <c r="J100" s="26"/>
      <c r="K100" s="26"/>
      <c r="L100" s="26"/>
      <c r="M100" s="26"/>
      <c r="N100" s="26"/>
    </row>
    <row r="101" spans="1:14" x14ac:dyDescent="0.25">
      <c r="A101" s="13">
        <v>14</v>
      </c>
      <c r="B101" s="70" t="s">
        <v>99</v>
      </c>
      <c r="C101" s="324" t="s">
        <v>48</v>
      </c>
      <c r="D101" s="325"/>
      <c r="E101" s="325"/>
      <c r="F101" s="325"/>
      <c r="G101" s="326"/>
      <c r="H101" s="26"/>
      <c r="I101" s="26"/>
      <c r="J101" s="26"/>
      <c r="K101" s="26"/>
      <c r="L101" s="26"/>
      <c r="M101" s="26"/>
      <c r="N101" s="26"/>
    </row>
    <row r="102" spans="1:14" x14ac:dyDescent="0.25">
      <c r="A102" s="71"/>
      <c r="B102" s="26"/>
      <c r="C102" s="84"/>
      <c r="D102" s="84"/>
      <c r="E102" s="84"/>
      <c r="F102" s="84"/>
      <c r="G102" s="84"/>
      <c r="H102" s="26"/>
      <c r="I102" s="26"/>
      <c r="J102" s="26"/>
      <c r="K102" s="26"/>
      <c r="L102" s="26"/>
      <c r="M102" s="26"/>
      <c r="N102" s="26"/>
    </row>
    <row r="103" spans="1:14" x14ac:dyDescent="0.25">
      <c r="A103" s="26"/>
      <c r="B103" s="26"/>
      <c r="C103" s="84"/>
      <c r="D103" s="84"/>
      <c r="E103" s="84"/>
      <c r="F103" s="84"/>
      <c r="G103" s="84"/>
      <c r="H103" s="26"/>
      <c r="I103" s="26"/>
      <c r="J103" s="26"/>
      <c r="K103" s="26"/>
      <c r="L103" s="26"/>
      <c r="M103" s="26"/>
      <c r="N103" s="26"/>
    </row>
    <row r="104" spans="1:14" x14ac:dyDescent="0.25">
      <c r="A104" s="26"/>
      <c r="B104" s="26"/>
      <c r="C104" s="26"/>
      <c r="D104" s="26"/>
      <c r="E104" s="26"/>
      <c r="F104" s="26"/>
      <c r="G104" s="26"/>
      <c r="H104" s="26"/>
      <c r="I104" s="26"/>
      <c r="J104" s="26"/>
      <c r="K104" s="26"/>
      <c r="L104" s="26"/>
      <c r="M104" s="26"/>
      <c r="N104" s="26"/>
    </row>
    <row r="105" spans="1:14" x14ac:dyDescent="0.25">
      <c r="A105" s="26"/>
      <c r="B105" s="374" t="s">
        <v>704</v>
      </c>
      <c r="C105" s="375"/>
      <c r="D105" s="375"/>
      <c r="E105" s="375"/>
      <c r="F105" s="375"/>
      <c r="G105" s="375"/>
      <c r="H105" s="375"/>
      <c r="I105" s="26"/>
      <c r="J105" s="26"/>
      <c r="K105" s="26"/>
      <c r="L105" s="26"/>
      <c r="M105" s="26"/>
      <c r="N105" s="26"/>
    </row>
    <row r="106" spans="1:14" x14ac:dyDescent="0.25">
      <c r="B106" s="26"/>
      <c r="C106" s="26"/>
      <c r="D106" s="26"/>
      <c r="E106" s="26"/>
      <c r="F106" s="26"/>
      <c r="G106" s="26"/>
      <c r="H106" s="26"/>
      <c r="I106" s="26"/>
      <c r="J106" s="26"/>
      <c r="K106" s="26"/>
      <c r="L106" s="26"/>
      <c r="M106" s="26"/>
      <c r="N106" s="26"/>
    </row>
    <row r="107" spans="1:14" x14ac:dyDescent="0.25">
      <c r="B107" s="26"/>
      <c r="C107" s="26"/>
      <c r="D107" s="26"/>
      <c r="E107" s="26"/>
      <c r="F107" s="26"/>
      <c r="G107" s="26"/>
      <c r="H107" s="26"/>
      <c r="I107" s="26"/>
      <c r="J107" s="26"/>
      <c r="K107" s="26"/>
      <c r="L107" s="26"/>
      <c r="M107" s="26"/>
      <c r="N107" s="26"/>
    </row>
    <row r="108" spans="1:14" x14ac:dyDescent="0.25">
      <c r="B108" s="26"/>
      <c r="C108" s="26"/>
      <c r="D108" s="26"/>
      <c r="E108" s="26"/>
      <c r="F108" s="26"/>
      <c r="G108" s="26"/>
      <c r="H108" s="26"/>
      <c r="I108" s="26"/>
      <c r="J108" s="26"/>
      <c r="K108" s="26"/>
      <c r="L108" s="26"/>
      <c r="M108" s="26"/>
      <c r="N108" s="26"/>
    </row>
    <row r="109" spans="1:14" x14ac:dyDescent="0.25">
      <c r="B109" s="26"/>
      <c r="C109" s="26"/>
      <c r="D109" s="26"/>
      <c r="E109" s="26"/>
      <c r="F109" s="26"/>
      <c r="G109" s="26"/>
      <c r="H109" s="26"/>
      <c r="I109" s="26"/>
      <c r="J109" s="26"/>
      <c r="K109" s="26"/>
      <c r="L109" s="26"/>
      <c r="M109" s="26"/>
      <c r="N109" s="26"/>
    </row>
    <row r="110" spans="1:14" x14ac:dyDescent="0.25">
      <c r="B110" s="26"/>
      <c r="C110" s="26"/>
      <c r="D110" s="242"/>
      <c r="E110" s="242"/>
      <c r="F110" s="26"/>
      <c r="G110" s="26"/>
      <c r="H110" s="26"/>
      <c r="I110" s="26"/>
      <c r="J110" s="26"/>
      <c r="K110" s="26"/>
      <c r="L110" s="26"/>
      <c r="M110" s="26"/>
      <c r="N110" s="26"/>
    </row>
    <row r="111" spans="1:14" x14ac:dyDescent="0.25">
      <c r="E111" s="127"/>
    </row>
  </sheetData>
  <sheetProtection password="DB00" sheet="1" objects="1" scenarios="1"/>
  <mergeCells count="59">
    <mergeCell ref="B12:D12"/>
    <mergeCell ref="B15:C15"/>
    <mergeCell ref="B17:E17"/>
    <mergeCell ref="C18:E18"/>
    <mergeCell ref="C20:E20"/>
    <mergeCell ref="C21:E21"/>
    <mergeCell ref="C22:E22"/>
    <mergeCell ref="B23:E23"/>
    <mergeCell ref="B26:E26"/>
    <mergeCell ref="C11:E11"/>
    <mergeCell ref="A1:B1"/>
    <mergeCell ref="C3:E3"/>
    <mergeCell ref="C5:E5"/>
    <mergeCell ref="B6:D6"/>
    <mergeCell ref="B9:D9"/>
    <mergeCell ref="C19:E19"/>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27:E27"/>
    <mergeCell ref="B88:B91"/>
    <mergeCell ref="B92:B95"/>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3"/>
    <mergeCell ref="B84:B87"/>
    <mergeCell ref="B105:H105"/>
    <mergeCell ref="B96:G96"/>
    <mergeCell ref="B97:G97"/>
    <mergeCell ref="B98:G98"/>
    <mergeCell ref="B99:G99"/>
    <mergeCell ref="C100:G100"/>
    <mergeCell ref="C101:G10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opLeftCell="B1" workbookViewId="0">
      <selection activeCell="G20" sqref="G20"/>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6" width="14.28515625" style="73" customWidth="1"/>
    <col min="7" max="7" width="12.7109375" style="73" customWidth="1"/>
    <col min="8"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6" t="s">
        <v>705</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152</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706</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6" t="s">
        <v>707</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27.75" customHeight="1"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694</v>
      </c>
      <c r="C19" s="373" t="s">
        <v>16</v>
      </c>
      <c r="D19" s="373"/>
      <c r="E19" s="373"/>
      <c r="F19" s="19"/>
      <c r="G19" s="17"/>
      <c r="I19" s="17"/>
      <c r="J19" s="17"/>
      <c r="K19" s="17"/>
      <c r="L19" s="17"/>
      <c r="M19" s="17"/>
      <c r="N19" s="17"/>
    </row>
    <row r="20" spans="1:14" x14ac:dyDescent="0.25">
      <c r="A20" s="13"/>
      <c r="B20" s="228" t="s">
        <v>664</v>
      </c>
      <c r="C20" s="373" t="s">
        <v>16</v>
      </c>
      <c r="D20" s="373"/>
      <c r="E20" s="37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53" t="s">
        <v>306</v>
      </c>
      <c r="C23" s="354"/>
      <c r="D23" s="354"/>
      <c r="E23" s="355"/>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8.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325</v>
      </c>
      <c r="E28" s="226" t="s">
        <v>27</v>
      </c>
      <c r="F28" s="19"/>
      <c r="G28" s="26"/>
      <c r="H28" s="26"/>
      <c r="I28" s="26"/>
      <c r="J28" s="26"/>
      <c r="K28" s="26"/>
      <c r="L28" s="26"/>
      <c r="M28" s="26"/>
      <c r="N28" s="26"/>
    </row>
    <row r="29" spans="1:14" ht="12.75" customHeight="1" x14ac:dyDescent="0.25">
      <c r="A29" s="13"/>
      <c r="B29" s="230" t="s">
        <v>28</v>
      </c>
      <c r="C29" s="232">
        <v>27441.200000000001</v>
      </c>
      <c r="D29" s="232">
        <v>17130.669999999998</v>
      </c>
      <c r="E29" s="251">
        <v>13489.72</v>
      </c>
      <c r="F29" s="19"/>
      <c r="G29" s="26"/>
      <c r="H29" s="26"/>
      <c r="I29" s="26"/>
      <c r="J29" s="26"/>
      <c r="K29" s="26"/>
      <c r="L29" s="26"/>
      <c r="M29" s="26"/>
      <c r="N29" s="26"/>
    </row>
    <row r="30" spans="1:14" x14ac:dyDescent="0.25">
      <c r="A30" s="13"/>
      <c r="B30" s="230" t="s">
        <v>29</v>
      </c>
      <c r="C30" s="232">
        <v>673.62</v>
      </c>
      <c r="D30" s="232">
        <v>150.38999999999999</v>
      </c>
      <c r="E30" s="251">
        <v>85.44</v>
      </c>
      <c r="F30" s="19"/>
      <c r="G30" s="26"/>
      <c r="H30" s="26"/>
      <c r="I30" s="26"/>
      <c r="J30" s="26"/>
      <c r="K30" s="26"/>
      <c r="L30" s="26"/>
      <c r="M30" s="26"/>
      <c r="N30" s="26"/>
    </row>
    <row r="31" spans="1:14" x14ac:dyDescent="0.25">
      <c r="A31" s="13"/>
      <c r="B31" s="230" t="s">
        <v>30</v>
      </c>
      <c r="C31" s="232">
        <v>1775.2</v>
      </c>
      <c r="D31" s="232">
        <v>1775.2</v>
      </c>
      <c r="E31" s="251">
        <v>1775.2</v>
      </c>
      <c r="F31" s="19"/>
      <c r="G31" s="26"/>
      <c r="H31" s="26"/>
      <c r="I31" s="26"/>
      <c r="J31" s="26"/>
      <c r="K31" s="26"/>
      <c r="L31" s="26"/>
      <c r="M31" s="26"/>
      <c r="N31" s="26"/>
    </row>
    <row r="32" spans="1:14" x14ac:dyDescent="0.25">
      <c r="A32" s="13"/>
      <c r="B32" s="230" t="s">
        <v>31</v>
      </c>
      <c r="C32" s="232">
        <v>4471.9399999999996</v>
      </c>
      <c r="D32" s="232">
        <v>4622.33</v>
      </c>
      <c r="E32" s="251">
        <v>4707.4799999999996</v>
      </c>
      <c r="F32" s="19"/>
      <c r="G32" s="26"/>
      <c r="H32" s="26"/>
      <c r="I32" s="26"/>
      <c r="J32" s="26"/>
      <c r="K32" s="26"/>
      <c r="L32" s="26"/>
      <c r="M32" s="26"/>
      <c r="N32" s="26"/>
    </row>
    <row r="33" spans="1:14" x14ac:dyDescent="0.25">
      <c r="A33" s="13"/>
      <c r="B33" s="353" t="s">
        <v>306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30" customHeight="1"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t="s">
        <v>750</v>
      </c>
      <c r="E37" s="17"/>
      <c r="F37" s="17"/>
      <c r="G37" s="26"/>
      <c r="H37" s="26"/>
      <c r="I37" s="26"/>
      <c r="J37" s="26"/>
      <c r="K37" s="26"/>
      <c r="L37" s="26"/>
      <c r="M37" s="26"/>
      <c r="N37" s="26"/>
    </row>
    <row r="38" spans="1:14" x14ac:dyDescent="0.25">
      <c r="A38" s="13"/>
      <c r="B38" s="233" t="s">
        <v>37</v>
      </c>
      <c r="C38" s="251" t="s">
        <v>873</v>
      </c>
      <c r="D38" s="17"/>
      <c r="E38" s="17"/>
      <c r="F38" s="17"/>
      <c r="G38" s="26"/>
      <c r="H38" s="26"/>
      <c r="I38" s="26"/>
      <c r="J38" s="26"/>
      <c r="K38" s="26"/>
      <c r="L38" s="26"/>
      <c r="M38" s="26"/>
      <c r="N38" s="26"/>
    </row>
    <row r="39" spans="1:14" x14ac:dyDescent="0.25">
      <c r="A39" s="13"/>
      <c r="B39" s="382"/>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ht="30.75" customHeight="1"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815</v>
      </c>
      <c r="D43" s="351"/>
      <c r="E43" s="352"/>
      <c r="F43" s="17"/>
      <c r="G43" s="26"/>
      <c r="H43" s="26"/>
      <c r="I43" s="26"/>
      <c r="J43" s="26"/>
      <c r="K43" s="26"/>
      <c r="L43" s="26"/>
      <c r="M43" s="26"/>
      <c r="N43" s="26"/>
    </row>
    <row r="44" spans="1:14" x14ac:dyDescent="0.25">
      <c r="A44" s="13"/>
      <c r="B44" s="227" t="s">
        <v>36</v>
      </c>
      <c r="C44" s="350" t="s">
        <v>815</v>
      </c>
      <c r="D44" s="351"/>
      <c r="E44" s="352"/>
      <c r="F44" s="17" t="s">
        <v>750</v>
      </c>
      <c r="G44" s="26"/>
      <c r="H44" s="26"/>
      <c r="I44" s="26"/>
      <c r="J44" s="26"/>
      <c r="K44" s="26"/>
      <c r="L44" s="26"/>
      <c r="M44" s="26"/>
      <c r="N44" s="26"/>
    </row>
    <row r="45" spans="1:14" x14ac:dyDescent="0.25">
      <c r="A45" s="13"/>
      <c r="B45" s="227" t="s">
        <v>37</v>
      </c>
      <c r="C45" s="350" t="s">
        <v>815</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225" t="s">
        <v>42</v>
      </c>
      <c r="C49" s="32" t="s">
        <v>43</v>
      </c>
      <c r="D49" s="33" t="s">
        <v>44</v>
      </c>
      <c r="E49" s="32" t="s">
        <v>268</v>
      </c>
      <c r="F49" s="26"/>
      <c r="G49" s="26"/>
      <c r="H49" s="26"/>
      <c r="I49" s="26"/>
      <c r="J49" s="26"/>
      <c r="K49" s="26"/>
      <c r="L49" s="26"/>
      <c r="M49" s="26"/>
    </row>
    <row r="50" spans="1:14" ht="51" x14ac:dyDescent="0.25">
      <c r="A50" s="34"/>
      <c r="B50" s="94" t="s">
        <v>369</v>
      </c>
      <c r="C50" s="94" t="s">
        <v>708</v>
      </c>
      <c r="D50" s="33" t="s">
        <v>248</v>
      </c>
      <c r="E50" s="32" t="s">
        <v>248</v>
      </c>
      <c r="F50" s="26"/>
      <c r="G50" s="26"/>
      <c r="H50" s="26"/>
      <c r="I50" s="26"/>
      <c r="J50" s="26"/>
      <c r="K50" s="26"/>
      <c r="L50" s="26"/>
      <c r="M50" s="26"/>
    </row>
    <row r="51" spans="1:14" x14ac:dyDescent="0.25">
      <c r="A51" s="36"/>
      <c r="B51" s="345" t="s">
        <v>709</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710</v>
      </c>
      <c r="D54" s="395"/>
      <c r="E54" s="396"/>
      <c r="F54" s="26"/>
      <c r="G54" s="26"/>
      <c r="H54" s="26"/>
      <c r="I54" s="26"/>
      <c r="J54" s="26"/>
      <c r="K54" s="2"/>
      <c r="L54" s="26"/>
      <c r="M54" s="26"/>
    </row>
    <row r="55" spans="1:14" ht="24.75" customHeight="1"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711</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6" x14ac:dyDescent="0.25">
      <c r="A65" s="13"/>
      <c r="B65" s="227" t="s">
        <v>62</v>
      </c>
      <c r="C65" s="230" t="s">
        <v>712</v>
      </c>
      <c r="D65" s="19"/>
      <c r="E65" s="19"/>
      <c r="F65" s="52"/>
      <c r="G65" s="52"/>
      <c r="H65" s="19"/>
      <c r="I65" s="19"/>
      <c r="J65" s="19"/>
      <c r="K65" s="19"/>
      <c r="L65" s="19"/>
      <c r="M65" s="19"/>
      <c r="N65" s="19"/>
    </row>
    <row r="66" spans="1:16" x14ac:dyDescent="0.25">
      <c r="A66" s="13"/>
      <c r="B66" s="19"/>
      <c r="C66" s="19"/>
      <c r="D66" s="19"/>
      <c r="E66" s="19"/>
      <c r="F66" s="19"/>
      <c r="G66" s="19"/>
      <c r="H66" s="19"/>
      <c r="I66" s="19"/>
      <c r="J66" s="19"/>
      <c r="K66" s="19"/>
      <c r="L66" s="19"/>
      <c r="M66" s="19"/>
      <c r="N66" s="19"/>
    </row>
    <row r="67" spans="1:16" ht="27.75" customHeight="1" x14ac:dyDescent="0.25">
      <c r="A67" s="13"/>
      <c r="B67" s="333" t="s">
        <v>64</v>
      </c>
      <c r="C67" s="372" t="s">
        <v>713</v>
      </c>
      <c r="D67" s="372" t="s">
        <v>333</v>
      </c>
      <c r="E67" s="336" t="s">
        <v>294</v>
      </c>
      <c r="F67" s="327" t="s">
        <v>685</v>
      </c>
      <c r="G67" s="328"/>
      <c r="H67" s="329"/>
      <c r="I67" s="330" t="s">
        <v>69</v>
      </c>
      <c r="J67" s="330"/>
      <c r="K67" s="330"/>
      <c r="L67" s="330" t="s">
        <v>70</v>
      </c>
      <c r="M67" s="330"/>
      <c r="N67" s="330"/>
    </row>
    <row r="68" spans="1:16"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6" x14ac:dyDescent="0.25">
      <c r="A69" s="4"/>
      <c r="B69" s="227" t="s">
        <v>165</v>
      </c>
      <c r="C69" s="131">
        <v>33.700000000000003</v>
      </c>
      <c r="D69" s="53">
        <v>35</v>
      </c>
      <c r="E69" s="54">
        <v>41.2</v>
      </c>
      <c r="F69" s="54">
        <v>33</v>
      </c>
      <c r="G69" s="54">
        <v>42.5</v>
      </c>
      <c r="H69" s="54">
        <v>32.75</v>
      </c>
      <c r="I69" s="53">
        <v>33.1</v>
      </c>
      <c r="J69" s="53">
        <v>36</v>
      </c>
      <c r="K69" s="53">
        <v>32</v>
      </c>
      <c r="L69" s="53">
        <v>36.700000000000003</v>
      </c>
      <c r="M69" s="53">
        <v>36.700000000000003</v>
      </c>
      <c r="N69" s="53">
        <v>36.700000000000003</v>
      </c>
    </row>
    <row r="70" spans="1:16" ht="25.5" x14ac:dyDescent="0.25">
      <c r="A70" s="4"/>
      <c r="B70" s="227" t="s">
        <v>686</v>
      </c>
      <c r="C70" s="131">
        <v>10460.1</v>
      </c>
      <c r="D70" s="131">
        <v>10482.200000000001</v>
      </c>
      <c r="E70" s="54">
        <v>10771.8</v>
      </c>
      <c r="F70" s="53">
        <v>11623.9</v>
      </c>
      <c r="G70" s="53">
        <v>11760.2</v>
      </c>
      <c r="H70" s="53">
        <v>10004.549999999999</v>
      </c>
      <c r="I70" s="53">
        <v>8597.75</v>
      </c>
      <c r="J70" s="53">
        <v>12430.5</v>
      </c>
      <c r="K70" s="53">
        <v>7511.1</v>
      </c>
      <c r="L70" s="53">
        <v>14690.7</v>
      </c>
      <c r="M70" s="53">
        <v>15431.75</v>
      </c>
      <c r="N70" s="53">
        <v>8055.8</v>
      </c>
    </row>
    <row r="71" spans="1:16" ht="13.5" x14ac:dyDescent="0.25">
      <c r="A71" s="4"/>
      <c r="B71" s="383" t="s">
        <v>156</v>
      </c>
      <c r="C71" s="434"/>
      <c r="D71" s="434"/>
      <c r="E71" s="383"/>
      <c r="F71" s="383"/>
      <c r="G71" s="383"/>
      <c r="H71" s="383"/>
      <c r="I71" s="383"/>
      <c r="J71" s="383"/>
      <c r="K71" s="383"/>
      <c r="L71" s="383"/>
      <c r="M71" s="383"/>
      <c r="N71" s="383"/>
    </row>
    <row r="72" spans="1:16" x14ac:dyDescent="0.25">
      <c r="A72" s="4"/>
      <c r="B72" s="382" t="s">
        <v>79</v>
      </c>
      <c r="C72" s="382"/>
      <c r="D72" s="382"/>
      <c r="E72" s="382"/>
      <c r="F72" s="382"/>
      <c r="G72" s="382"/>
      <c r="H72" s="382"/>
      <c r="I72" s="382"/>
      <c r="J72" s="382"/>
      <c r="K72" s="382"/>
      <c r="L72" s="382"/>
      <c r="M72" s="382"/>
      <c r="N72" s="382"/>
    </row>
    <row r="73" spans="1:16" s="57" customFormat="1" x14ac:dyDescent="0.25">
      <c r="B73" s="382" t="s">
        <v>80</v>
      </c>
      <c r="C73" s="382"/>
      <c r="D73" s="382"/>
      <c r="E73" s="382"/>
      <c r="F73" s="382"/>
      <c r="G73" s="382"/>
      <c r="H73" s="382"/>
      <c r="I73" s="382"/>
      <c r="J73" s="382"/>
      <c r="K73" s="382"/>
      <c r="L73" s="382"/>
      <c r="M73" s="382"/>
      <c r="N73" s="382"/>
      <c r="P73" s="57" t="s">
        <v>750</v>
      </c>
    </row>
    <row r="74" spans="1:16" x14ac:dyDescent="0.25">
      <c r="A74" s="4"/>
      <c r="B74" s="382" t="s">
        <v>420</v>
      </c>
      <c r="C74" s="382"/>
      <c r="D74" s="382"/>
      <c r="E74" s="382"/>
      <c r="F74" s="382"/>
      <c r="G74" s="382"/>
      <c r="H74" s="382"/>
      <c r="I74" s="382"/>
      <c r="J74" s="382"/>
      <c r="K74" s="382"/>
      <c r="L74" s="382"/>
      <c r="M74" s="382"/>
      <c r="N74" s="382"/>
    </row>
    <row r="75" spans="1:16" x14ac:dyDescent="0.25">
      <c r="A75" s="4"/>
      <c r="B75" s="382" t="s">
        <v>82</v>
      </c>
      <c r="C75" s="382"/>
      <c r="D75" s="382"/>
      <c r="E75" s="382"/>
      <c r="F75" s="382"/>
      <c r="G75" s="382"/>
      <c r="H75" s="382"/>
      <c r="I75" s="382"/>
      <c r="J75" s="382"/>
      <c r="K75" s="382"/>
      <c r="L75" s="382"/>
      <c r="M75" s="382"/>
      <c r="N75" s="382"/>
    </row>
    <row r="76" spans="1:16" x14ac:dyDescent="0.25">
      <c r="A76" s="4"/>
      <c r="B76" s="58"/>
      <c r="C76" s="58"/>
      <c r="D76" s="58"/>
      <c r="E76" s="58"/>
      <c r="F76" s="58"/>
      <c r="G76" s="17"/>
      <c r="H76" s="17"/>
      <c r="I76" s="17"/>
      <c r="J76" s="17"/>
      <c r="K76" s="17"/>
      <c r="L76" s="17"/>
      <c r="M76" s="17"/>
      <c r="N76" s="17"/>
    </row>
    <row r="77" spans="1:16" x14ac:dyDescent="0.25">
      <c r="A77" s="13">
        <v>13</v>
      </c>
      <c r="B77" s="338" t="s">
        <v>83</v>
      </c>
      <c r="C77" s="339"/>
      <c r="D77" s="339"/>
      <c r="E77" s="339"/>
      <c r="F77" s="339"/>
      <c r="G77" s="340"/>
      <c r="H77" s="15"/>
      <c r="I77" s="15"/>
      <c r="J77" s="15"/>
      <c r="K77" s="15"/>
      <c r="L77" s="15"/>
      <c r="M77" s="15"/>
      <c r="N77" s="15"/>
    </row>
    <row r="78" spans="1:16" x14ac:dyDescent="0.25">
      <c r="A78" s="13"/>
      <c r="B78" s="26"/>
      <c r="C78" s="19"/>
      <c r="D78" s="19"/>
      <c r="E78" s="19"/>
      <c r="F78" s="19"/>
      <c r="G78" s="19"/>
      <c r="H78" s="19"/>
      <c r="I78" s="19"/>
      <c r="J78" s="19"/>
      <c r="K78" s="19"/>
      <c r="L78" s="19"/>
      <c r="M78" s="19"/>
      <c r="N78" s="19"/>
    </row>
    <row r="79" spans="1:16" ht="102" x14ac:dyDescent="0.25">
      <c r="A79" s="4"/>
      <c r="B79" s="224" t="s">
        <v>84</v>
      </c>
      <c r="C79" s="226" t="s">
        <v>85</v>
      </c>
      <c r="D79" s="226" t="s">
        <v>86</v>
      </c>
      <c r="E79" s="226" t="s">
        <v>280</v>
      </c>
      <c r="F79" s="226" t="s">
        <v>88</v>
      </c>
      <c r="G79" s="226" t="s">
        <v>169</v>
      </c>
      <c r="H79" s="17"/>
      <c r="I79" s="17"/>
      <c r="J79" s="17"/>
      <c r="K79" s="17"/>
      <c r="L79" s="17"/>
      <c r="M79" s="17"/>
      <c r="N79" s="17"/>
    </row>
    <row r="80" spans="1:16" ht="12.75" customHeight="1" x14ac:dyDescent="0.2">
      <c r="A80" s="4"/>
      <c r="B80" s="316" t="s">
        <v>90</v>
      </c>
      <c r="C80" s="5" t="s">
        <v>714</v>
      </c>
      <c r="D80" s="91">
        <v>3.82</v>
      </c>
      <c r="E80" s="232">
        <v>4.42</v>
      </c>
      <c r="F80" s="61">
        <v>0.85</v>
      </c>
      <c r="G80" s="61">
        <v>0.48</v>
      </c>
      <c r="H80" s="62"/>
      <c r="I80" s="62"/>
      <c r="J80" s="62"/>
      <c r="K80" s="62"/>
      <c r="L80" s="62"/>
      <c r="M80" s="62"/>
      <c r="N80" s="62"/>
    </row>
    <row r="81" spans="1:14" x14ac:dyDescent="0.25">
      <c r="A81" s="4"/>
      <c r="B81" s="316"/>
      <c r="C81" s="5" t="s">
        <v>92</v>
      </c>
      <c r="D81" s="229"/>
      <c r="E81" s="232"/>
      <c r="F81" s="61"/>
      <c r="G81" s="61"/>
      <c r="H81" s="62"/>
      <c r="I81" s="62"/>
      <c r="J81" s="62"/>
      <c r="K81" s="62"/>
      <c r="L81" s="62"/>
      <c r="M81" s="62"/>
      <c r="N81" s="62"/>
    </row>
    <row r="82" spans="1:14" x14ac:dyDescent="0.2">
      <c r="A82" s="4"/>
      <c r="B82" s="316"/>
      <c r="C82" s="211" t="s">
        <v>715</v>
      </c>
      <c r="D82" s="229">
        <v>12.35</v>
      </c>
      <c r="E82" s="232">
        <v>7.26</v>
      </c>
      <c r="F82" s="61">
        <v>6.57</v>
      </c>
      <c r="G82" s="61">
        <v>6.77</v>
      </c>
      <c r="H82" s="62"/>
      <c r="I82" s="62"/>
      <c r="J82" s="62"/>
      <c r="K82" s="62"/>
      <c r="L82" s="62"/>
      <c r="M82" s="62"/>
      <c r="N82" s="62"/>
    </row>
    <row r="83" spans="1:14" x14ac:dyDescent="0.2">
      <c r="A83" s="4"/>
      <c r="B83" s="316"/>
      <c r="C83" s="211" t="s">
        <v>716</v>
      </c>
      <c r="D83" s="229">
        <v>0.98</v>
      </c>
      <c r="E83" s="232">
        <v>2.74</v>
      </c>
      <c r="F83" s="61">
        <v>6.21</v>
      </c>
      <c r="G83" s="61">
        <v>6.03</v>
      </c>
      <c r="H83" s="62"/>
      <c r="I83" s="62"/>
      <c r="J83" s="62"/>
      <c r="K83" s="62"/>
      <c r="L83" s="62"/>
      <c r="M83" s="62"/>
      <c r="N83" s="62"/>
    </row>
    <row r="84" spans="1:14" x14ac:dyDescent="0.25">
      <c r="A84" s="4"/>
      <c r="B84" s="316"/>
      <c r="C84" s="5" t="s">
        <v>93</v>
      </c>
      <c r="D84" s="92">
        <v>6.665</v>
      </c>
      <c r="E84" s="186">
        <f>SUM(E82:E83)/2</f>
        <v>5</v>
      </c>
      <c r="F84" s="186">
        <f t="shared" ref="F84:G84" si="0">SUM(F82:F83)/2</f>
        <v>6.3900000000000006</v>
      </c>
      <c r="G84" s="186">
        <f t="shared" si="0"/>
        <v>6.4</v>
      </c>
      <c r="H84" s="62"/>
      <c r="I84" s="62"/>
      <c r="J84" s="62"/>
      <c r="K84" s="62"/>
      <c r="L84" s="62"/>
      <c r="M84" s="62"/>
      <c r="N84" s="62"/>
    </row>
    <row r="85" spans="1:14" x14ac:dyDescent="0.2">
      <c r="A85" s="4"/>
      <c r="B85" s="316" t="s">
        <v>94</v>
      </c>
      <c r="C85" s="5" t="s">
        <v>714</v>
      </c>
      <c r="D85" s="93">
        <v>8.3800000000000008</v>
      </c>
      <c r="E85" s="235">
        <f>F69/E80</f>
        <v>7.4660633484162897</v>
      </c>
      <c r="F85" s="270">
        <f>I69/F80</f>
        <v>38.941176470588239</v>
      </c>
      <c r="G85" s="270">
        <f>L69/G80</f>
        <v>76.458333333333343</v>
      </c>
      <c r="H85" s="62"/>
      <c r="I85" s="62"/>
      <c r="J85" s="62"/>
      <c r="K85" s="62"/>
      <c r="L85" s="62"/>
      <c r="M85" s="62"/>
      <c r="N85" s="62"/>
    </row>
    <row r="86" spans="1:14" x14ac:dyDescent="0.25">
      <c r="A86" s="4"/>
      <c r="B86" s="316"/>
      <c r="C86" s="5" t="s">
        <v>92</v>
      </c>
      <c r="D86" s="229"/>
      <c r="E86" s="232"/>
      <c r="F86" s="61"/>
      <c r="G86" s="61"/>
      <c r="H86" s="62"/>
      <c r="I86" s="62"/>
      <c r="J86" s="62"/>
      <c r="K86" s="62"/>
      <c r="L86" s="62"/>
      <c r="M86" s="62"/>
      <c r="N86" s="62"/>
    </row>
    <row r="87" spans="1:14" x14ac:dyDescent="0.2">
      <c r="A87" s="4"/>
      <c r="B87" s="316"/>
      <c r="C87" s="211" t="s">
        <v>715</v>
      </c>
      <c r="D87" s="229">
        <v>13.37</v>
      </c>
      <c r="E87" s="235">
        <f>100.5/E82</f>
        <v>13.842975206611571</v>
      </c>
      <c r="F87" s="270">
        <f>44.6/F82</f>
        <v>6.788432267884323</v>
      </c>
      <c r="G87" s="270">
        <f>80.1/G82</f>
        <v>11.831610044313146</v>
      </c>
      <c r="H87" s="62"/>
      <c r="I87" s="62"/>
      <c r="J87" s="62"/>
      <c r="K87" s="62"/>
      <c r="L87" s="62"/>
      <c r="M87" s="62"/>
      <c r="N87" s="62"/>
    </row>
    <row r="88" spans="1:14" x14ac:dyDescent="0.2">
      <c r="A88" s="4"/>
      <c r="B88" s="316"/>
      <c r="C88" s="211" t="s">
        <v>716</v>
      </c>
      <c r="D88" s="92">
        <v>33.57</v>
      </c>
      <c r="E88" s="232">
        <v>12.41</v>
      </c>
      <c r="F88" s="64">
        <f>49.75/F83</f>
        <v>8.0112721417069235</v>
      </c>
      <c r="G88" s="64">
        <f>77.6/G83</f>
        <v>12.868988391376449</v>
      </c>
      <c r="H88" s="62"/>
      <c r="I88" s="62"/>
      <c r="J88" s="62"/>
      <c r="K88" s="62"/>
      <c r="L88" s="62"/>
      <c r="M88" s="62"/>
      <c r="N88" s="62"/>
    </row>
    <row r="89" spans="1:14" x14ac:dyDescent="0.25">
      <c r="A89" s="4"/>
      <c r="B89" s="316"/>
      <c r="C89" s="5" t="s">
        <v>93</v>
      </c>
      <c r="D89" s="92">
        <v>23.47</v>
      </c>
      <c r="E89" s="186">
        <f>SUM(E87:E88)/2</f>
        <v>13.126487603305787</v>
      </c>
      <c r="F89" s="186">
        <f t="shared" ref="F89:G89" si="1">SUM(F87:F88)/2</f>
        <v>7.3998522047956232</v>
      </c>
      <c r="G89" s="186">
        <f t="shared" si="1"/>
        <v>12.350299217844798</v>
      </c>
      <c r="H89" s="62"/>
      <c r="I89" s="62"/>
      <c r="J89" s="62"/>
      <c r="K89" s="62"/>
      <c r="L89" s="62"/>
      <c r="M89" s="62"/>
      <c r="N89" s="62"/>
    </row>
    <row r="90" spans="1:14" x14ac:dyDescent="0.2">
      <c r="A90" s="4"/>
      <c r="B90" s="316" t="s">
        <v>95</v>
      </c>
      <c r="C90" s="5" t="s">
        <v>714</v>
      </c>
      <c r="D90" s="91">
        <v>12.66</v>
      </c>
      <c r="E90" s="235">
        <f>674.62/6247.14*100</f>
        <v>10.798861559049421</v>
      </c>
      <c r="F90" s="61">
        <v>2.35</v>
      </c>
      <c r="G90" s="61">
        <v>1.32</v>
      </c>
      <c r="H90" s="62"/>
      <c r="I90" s="62"/>
      <c r="J90" s="62"/>
      <c r="K90" s="62"/>
      <c r="L90" s="62"/>
      <c r="M90" s="62"/>
      <c r="N90" s="62"/>
    </row>
    <row r="91" spans="1:14" x14ac:dyDescent="0.25">
      <c r="A91" s="4"/>
      <c r="B91" s="316"/>
      <c r="C91" s="5" t="s">
        <v>92</v>
      </c>
      <c r="D91" s="229"/>
      <c r="E91" s="232"/>
      <c r="F91" s="61"/>
      <c r="G91" s="61"/>
      <c r="H91" s="62"/>
      <c r="I91" s="62"/>
      <c r="J91" s="62"/>
      <c r="K91" s="62"/>
      <c r="L91" s="62"/>
      <c r="M91" s="62"/>
      <c r="N91" s="62"/>
    </row>
    <row r="92" spans="1:14" x14ac:dyDescent="0.2">
      <c r="A92" s="4"/>
      <c r="B92" s="316"/>
      <c r="C92" s="211" t="s">
        <v>715</v>
      </c>
      <c r="D92" s="229">
        <v>19.09</v>
      </c>
      <c r="E92" s="235">
        <f>1596.82/18253.87*100</f>
        <v>8.7478436079582025</v>
      </c>
      <c r="F92" s="61">
        <v>8.06</v>
      </c>
      <c r="G92" s="61">
        <v>7.85</v>
      </c>
      <c r="H92" s="62"/>
      <c r="I92" s="62"/>
      <c r="J92" s="62"/>
      <c r="K92" s="62"/>
      <c r="L92" s="62"/>
      <c r="M92" s="62"/>
      <c r="N92" s="62"/>
    </row>
    <row r="93" spans="1:14" x14ac:dyDescent="0.2">
      <c r="A93" s="4"/>
      <c r="B93" s="316"/>
      <c r="C93" s="211" t="s">
        <v>716</v>
      </c>
      <c r="D93" s="229">
        <v>6.49</v>
      </c>
      <c r="E93" s="235">
        <f>0.09*100</f>
        <v>9</v>
      </c>
      <c r="F93" s="61">
        <v>15.91</v>
      </c>
      <c r="G93" s="61">
        <v>14.01</v>
      </c>
      <c r="H93" s="62"/>
      <c r="I93" s="62"/>
      <c r="J93" s="62"/>
      <c r="K93" s="62"/>
      <c r="L93" s="62"/>
      <c r="M93" s="62"/>
      <c r="N93" s="62"/>
    </row>
    <row r="94" spans="1:14" x14ac:dyDescent="0.25">
      <c r="A94" s="4"/>
      <c r="B94" s="316"/>
      <c r="C94" s="5" t="s">
        <v>93</v>
      </c>
      <c r="D94" s="92">
        <v>12.79</v>
      </c>
      <c r="E94" s="235">
        <f>SUM(E92:E93)/2</f>
        <v>8.8739218039791012</v>
      </c>
      <c r="F94" s="270">
        <f t="shared" ref="F94:G94" si="2">SUM(F92:F93)/2</f>
        <v>11.984999999999999</v>
      </c>
      <c r="G94" s="270">
        <f t="shared" si="2"/>
        <v>10.93</v>
      </c>
      <c r="H94" s="62"/>
      <c r="I94" s="62"/>
      <c r="J94" s="62"/>
      <c r="K94" s="66"/>
      <c r="L94" s="62"/>
      <c r="M94" s="62"/>
      <c r="N94" s="62"/>
    </row>
    <row r="95" spans="1:14" x14ac:dyDescent="0.2">
      <c r="A95" s="4"/>
      <c r="B95" s="316" t="s">
        <v>96</v>
      </c>
      <c r="C95" s="5" t="s">
        <v>714</v>
      </c>
      <c r="D95" s="91">
        <v>30.14</v>
      </c>
      <c r="E95" s="186">
        <f>6247.14*100000/17752000</f>
        <v>35.191189725101395</v>
      </c>
      <c r="F95" s="166">
        <v>36.04</v>
      </c>
      <c r="G95" s="166">
        <v>36.520000000000003</v>
      </c>
      <c r="H95" s="62"/>
      <c r="I95" s="62"/>
      <c r="J95" s="62"/>
      <c r="K95" s="62"/>
      <c r="L95" s="62"/>
      <c r="M95" s="62"/>
      <c r="N95" s="62"/>
    </row>
    <row r="96" spans="1:14" x14ac:dyDescent="0.25">
      <c r="A96" s="4"/>
      <c r="B96" s="316"/>
      <c r="C96" s="5" t="s">
        <v>92</v>
      </c>
      <c r="D96" s="229"/>
      <c r="E96" s="232"/>
      <c r="F96" s="61"/>
      <c r="G96" s="61"/>
      <c r="H96" s="62"/>
      <c r="I96" s="62"/>
      <c r="J96" s="62"/>
      <c r="K96" s="62"/>
      <c r="L96" s="62"/>
      <c r="M96" s="62"/>
      <c r="N96" s="62"/>
    </row>
    <row r="97" spans="1:14" x14ac:dyDescent="0.2">
      <c r="A97" s="4"/>
      <c r="B97" s="386"/>
      <c r="C97" s="211" t="s">
        <v>715</v>
      </c>
      <c r="D97" s="229">
        <v>75.88</v>
      </c>
      <c r="E97" s="235">
        <f>18253.87*100000/11000000</f>
        <v>165.94427272727273</v>
      </c>
      <c r="F97" s="61">
        <v>81.260000000000005</v>
      </c>
      <c r="G97" s="61"/>
      <c r="H97" s="62"/>
      <c r="I97" s="62" t="s">
        <v>750</v>
      </c>
      <c r="J97" s="62"/>
      <c r="K97" s="62"/>
      <c r="L97" s="62"/>
      <c r="M97" s="62"/>
      <c r="N97" s="62"/>
    </row>
    <row r="98" spans="1:14" x14ac:dyDescent="0.2">
      <c r="A98" s="4"/>
      <c r="B98" s="386"/>
      <c r="C98" s="211" t="s">
        <v>716</v>
      </c>
      <c r="D98" s="229">
        <v>22.23</v>
      </c>
      <c r="E98" s="232">
        <v>31.84</v>
      </c>
      <c r="F98" s="61">
        <v>39.03</v>
      </c>
      <c r="G98" s="61">
        <v>43.05</v>
      </c>
      <c r="H98" s="62"/>
      <c r="I98" s="62"/>
      <c r="J98" s="62"/>
      <c r="K98" s="62"/>
      <c r="L98" s="62"/>
      <c r="M98" s="62"/>
      <c r="N98" s="62"/>
    </row>
    <row r="99" spans="1:14" x14ac:dyDescent="0.25">
      <c r="A99" s="4"/>
      <c r="B99" s="386"/>
      <c r="C99" s="5" t="s">
        <v>93</v>
      </c>
      <c r="D99" s="92">
        <v>49.055</v>
      </c>
      <c r="E99" s="186">
        <f>SUM(E97:E98)/2</f>
        <v>98.892136363636368</v>
      </c>
      <c r="F99" s="186">
        <f t="shared" ref="F99:G99" si="3">SUM(F97:F98)/2</f>
        <v>60.145000000000003</v>
      </c>
      <c r="G99" s="186">
        <f t="shared" si="3"/>
        <v>21.524999999999999</v>
      </c>
      <c r="H99" s="62"/>
      <c r="I99" s="62"/>
      <c r="J99" s="62"/>
      <c r="K99" s="62"/>
      <c r="L99" s="62"/>
      <c r="M99" s="62"/>
      <c r="N99" s="62"/>
    </row>
    <row r="100" spans="1:14" s="57" customFormat="1" x14ac:dyDescent="0.25">
      <c r="B100" s="387"/>
      <c r="C100" s="388"/>
      <c r="D100" s="388"/>
      <c r="E100" s="388"/>
      <c r="F100" s="388"/>
      <c r="G100" s="389"/>
    </row>
    <row r="101" spans="1:14" x14ac:dyDescent="0.25">
      <c r="A101" s="4"/>
      <c r="B101" s="376" t="s">
        <v>717</v>
      </c>
      <c r="C101" s="377"/>
      <c r="D101" s="377"/>
      <c r="E101" s="377"/>
      <c r="F101" s="377"/>
      <c r="G101" s="378"/>
      <c r="H101" s="62"/>
      <c r="I101" s="62"/>
      <c r="J101" s="62"/>
      <c r="K101" s="62"/>
      <c r="L101" s="62"/>
      <c r="M101" s="62"/>
      <c r="N101" s="62"/>
    </row>
    <row r="102" spans="1:14" x14ac:dyDescent="0.25">
      <c r="A102" s="4"/>
      <c r="B102" s="379" t="s">
        <v>128</v>
      </c>
      <c r="C102" s="380"/>
      <c r="D102" s="380"/>
      <c r="E102" s="380"/>
      <c r="F102" s="380"/>
      <c r="G102" s="381"/>
      <c r="H102" s="62"/>
      <c r="I102" s="62"/>
      <c r="J102" s="62"/>
      <c r="K102" s="62"/>
      <c r="L102" s="62"/>
      <c r="M102" s="62"/>
      <c r="N102" s="62"/>
    </row>
    <row r="103" spans="1:14" x14ac:dyDescent="0.25">
      <c r="A103" s="4"/>
      <c r="B103" s="353"/>
      <c r="C103" s="354"/>
      <c r="D103" s="354"/>
      <c r="E103" s="354"/>
      <c r="F103" s="354"/>
      <c r="G103" s="355"/>
      <c r="H103" s="62"/>
      <c r="I103" s="62"/>
      <c r="J103" s="62"/>
      <c r="K103" s="62"/>
      <c r="L103" s="62"/>
      <c r="M103" s="62"/>
      <c r="N103" s="62"/>
    </row>
    <row r="104" spans="1:14" x14ac:dyDescent="0.25">
      <c r="A104" s="26"/>
      <c r="B104" s="12"/>
      <c r="C104" s="323"/>
      <c r="D104" s="323"/>
      <c r="E104" s="323"/>
      <c r="F104" s="323"/>
      <c r="G104" s="323"/>
      <c r="H104" s="62"/>
      <c r="I104" s="62"/>
      <c r="J104" s="26"/>
      <c r="K104" s="26"/>
      <c r="L104" s="26"/>
      <c r="M104" s="26"/>
      <c r="N104" s="26"/>
    </row>
    <row r="105" spans="1:14" x14ac:dyDescent="0.25">
      <c r="A105" s="13">
        <v>14</v>
      </c>
      <c r="B105" s="70" t="s">
        <v>99</v>
      </c>
      <c r="C105" s="324" t="s">
        <v>48</v>
      </c>
      <c r="D105" s="325"/>
      <c r="E105" s="325"/>
      <c r="F105" s="325"/>
      <c r="G105" s="326"/>
      <c r="H105" s="26"/>
      <c r="I105" s="26"/>
      <c r="J105" s="26"/>
      <c r="K105" s="26"/>
      <c r="L105" s="26"/>
      <c r="M105" s="26"/>
      <c r="N105" s="26"/>
    </row>
    <row r="106" spans="1:14" x14ac:dyDescent="0.25">
      <c r="A106" s="71"/>
      <c r="B106" s="26"/>
      <c r="C106" s="84"/>
      <c r="D106" s="84"/>
      <c r="E106" s="84"/>
      <c r="F106" s="84"/>
      <c r="G106" s="84"/>
      <c r="H106" s="26"/>
      <c r="I106" s="26"/>
      <c r="J106" s="26"/>
      <c r="K106" s="26"/>
      <c r="L106" s="26"/>
      <c r="M106" s="26"/>
      <c r="N106" s="26"/>
    </row>
    <row r="107" spans="1:14" x14ac:dyDescent="0.25">
      <c r="A107" s="26"/>
      <c r="B107" s="26"/>
      <c r="C107" s="84"/>
      <c r="D107" s="84"/>
      <c r="E107" s="84"/>
      <c r="F107" s="84"/>
      <c r="G107" s="84"/>
      <c r="H107" s="26"/>
      <c r="I107" s="26"/>
      <c r="J107" s="26"/>
      <c r="K107" s="26"/>
      <c r="L107" s="26"/>
      <c r="M107" s="26"/>
      <c r="N107" s="26"/>
    </row>
    <row r="108" spans="1:14" x14ac:dyDescent="0.25">
      <c r="A108" s="26"/>
      <c r="I108" s="26"/>
      <c r="J108" s="26"/>
      <c r="K108" s="26"/>
      <c r="L108" s="26"/>
      <c r="M108" s="26"/>
      <c r="N108" s="26"/>
    </row>
    <row r="109" spans="1:14" x14ac:dyDescent="0.25">
      <c r="A109" s="26"/>
      <c r="B109" s="374" t="s">
        <v>718</v>
      </c>
      <c r="C109" s="375"/>
      <c r="D109" s="375"/>
      <c r="E109" s="375"/>
      <c r="F109" s="375"/>
      <c r="G109" s="375"/>
      <c r="H109" s="375"/>
      <c r="J109" s="26"/>
      <c r="K109" s="26"/>
      <c r="L109" s="26"/>
      <c r="M109" s="26"/>
      <c r="N109" s="26"/>
    </row>
    <row r="114" spans="4:5" x14ac:dyDescent="0.25">
      <c r="D114" s="127"/>
      <c r="E114" s="127"/>
    </row>
    <row r="115" spans="4:5" x14ac:dyDescent="0.25">
      <c r="E115" s="127"/>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4"/>
    <mergeCell ref="B85:B89"/>
    <mergeCell ref="B109:H109"/>
    <mergeCell ref="B100:G100"/>
    <mergeCell ref="B101:G101"/>
    <mergeCell ref="B102:G102"/>
    <mergeCell ref="B103:G103"/>
    <mergeCell ref="C104:G104"/>
    <mergeCell ref="C105:G10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opLeftCell="A24" workbookViewId="0">
      <selection activeCell="C34" sqref="C34"/>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151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152</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153</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154</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155</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156</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25</v>
      </c>
      <c r="D28" s="22" t="s">
        <v>26</v>
      </c>
      <c r="E28" s="22" t="s">
        <v>27</v>
      </c>
      <c r="F28" s="19"/>
      <c r="G28" s="26"/>
      <c r="H28" s="26"/>
      <c r="I28" s="26"/>
      <c r="J28" s="26"/>
      <c r="K28" s="26"/>
      <c r="L28" s="26"/>
      <c r="M28" s="26"/>
      <c r="N28" s="26"/>
    </row>
    <row r="29" spans="1:14" ht="12.75" customHeight="1" x14ac:dyDescent="0.25">
      <c r="A29" s="13"/>
      <c r="B29" s="23" t="s">
        <v>28</v>
      </c>
      <c r="C29" s="24">
        <v>4198.63</v>
      </c>
      <c r="D29" s="25">
        <v>4473.03</v>
      </c>
      <c r="E29" s="25">
        <v>5388.68</v>
      </c>
      <c r="F29" s="19"/>
      <c r="G29" s="26"/>
      <c r="H29" s="26"/>
      <c r="I29" s="26"/>
      <c r="J29" s="26"/>
      <c r="K29" s="26"/>
      <c r="L29" s="26"/>
      <c r="M29" s="26"/>
      <c r="N29" s="26"/>
    </row>
    <row r="30" spans="1:14" x14ac:dyDescent="0.25">
      <c r="A30" s="13"/>
      <c r="B30" s="23" t="s">
        <v>29</v>
      </c>
      <c r="C30" s="24">
        <v>1404.64</v>
      </c>
      <c r="D30" s="25">
        <v>1184.9100000000001</v>
      </c>
      <c r="E30" s="25">
        <v>2547</v>
      </c>
      <c r="F30" s="19"/>
      <c r="G30" s="26"/>
      <c r="H30" s="26"/>
      <c r="I30" s="26"/>
      <c r="J30" s="26"/>
      <c r="K30" s="26"/>
      <c r="L30" s="26"/>
      <c r="M30" s="26"/>
      <c r="N30" s="26"/>
    </row>
    <row r="31" spans="1:14" x14ac:dyDescent="0.25">
      <c r="A31" s="13"/>
      <c r="B31" s="23" t="s">
        <v>30</v>
      </c>
      <c r="C31" s="24">
        <v>177.86</v>
      </c>
      <c r="D31" s="25">
        <v>177.86</v>
      </c>
      <c r="E31" s="25">
        <v>177.86</v>
      </c>
      <c r="F31" s="19"/>
      <c r="G31" s="26"/>
      <c r="H31" s="26"/>
      <c r="I31" s="26"/>
      <c r="J31" s="26"/>
      <c r="K31" s="26"/>
      <c r="L31" s="26"/>
      <c r="M31" s="26"/>
      <c r="N31" s="26"/>
    </row>
    <row r="32" spans="1:14" x14ac:dyDescent="0.25">
      <c r="A32" s="13"/>
      <c r="B32" s="23" t="s">
        <v>31</v>
      </c>
      <c r="C32" s="24">
        <v>7057.94</v>
      </c>
      <c r="D32" s="25">
        <v>8267.6</v>
      </c>
      <c r="E32" s="25">
        <v>10214.81</v>
      </c>
      <c r="F32" s="19"/>
      <c r="G32" s="26"/>
      <c r="H32" s="26"/>
      <c r="I32" s="26"/>
      <c r="J32" s="26"/>
      <c r="K32" s="26"/>
      <c r="L32" s="26"/>
      <c r="M32" s="26"/>
      <c r="N32" s="26"/>
    </row>
    <row r="33" spans="1:14" x14ac:dyDescent="0.25">
      <c r="A33" s="13"/>
      <c r="B33" s="353" t="s">
        <v>157</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24" t="s">
        <v>35</v>
      </c>
      <c r="D38" s="17"/>
      <c r="E38" s="17"/>
      <c r="F38" s="17"/>
      <c r="G38" s="26"/>
      <c r="H38" s="26"/>
      <c r="I38" s="26"/>
      <c r="J38" s="26"/>
      <c r="K38" s="26"/>
      <c r="L38" s="26"/>
      <c r="M38" s="26"/>
      <c r="N38" s="26"/>
    </row>
    <row r="39" spans="1:14" x14ac:dyDescent="0.25">
      <c r="A39" s="13"/>
      <c r="B39" s="382" t="s">
        <v>156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158</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45</v>
      </c>
      <c r="F49" s="26"/>
      <c r="G49" s="26"/>
      <c r="H49" s="26"/>
      <c r="I49" s="26"/>
      <c r="J49" s="26"/>
      <c r="K49" s="26"/>
      <c r="L49" s="26"/>
      <c r="M49" s="26"/>
    </row>
    <row r="50" spans="1:14" x14ac:dyDescent="0.25">
      <c r="A50" s="34"/>
      <c r="B50" s="391" t="s">
        <v>159</v>
      </c>
      <c r="C50" s="392"/>
      <c r="D50" s="392"/>
      <c r="E50" s="393"/>
      <c r="F50" s="26"/>
      <c r="G50" s="26"/>
      <c r="H50" s="26"/>
      <c r="I50" s="26"/>
      <c r="J50" s="26"/>
      <c r="K50" s="26"/>
      <c r="L50" s="26"/>
      <c r="M50" s="26"/>
    </row>
    <row r="51" spans="1:14" x14ac:dyDescent="0.25">
      <c r="A51" s="36"/>
      <c r="B51" s="345" t="s">
        <v>160</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159</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125</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160</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3"/>
      <c r="B60" s="44"/>
      <c r="C60" s="45"/>
      <c r="D60" s="46"/>
      <c r="E60" s="47"/>
      <c r="F60" s="40"/>
      <c r="G60" s="40"/>
      <c r="H60" s="40"/>
      <c r="I60" s="40"/>
      <c r="J60" s="40"/>
      <c r="K60" s="40"/>
      <c r="L60" s="40"/>
      <c r="M60" s="26"/>
      <c r="N60" s="26"/>
    </row>
    <row r="61" spans="1:14" x14ac:dyDescent="0.25">
      <c r="A61" s="48"/>
      <c r="B61" s="49"/>
      <c r="C61" s="50"/>
      <c r="D61" s="50"/>
      <c r="E61" s="50"/>
      <c r="F61" s="50"/>
      <c r="G61" s="12"/>
      <c r="H61" s="12"/>
      <c r="I61" s="12"/>
      <c r="J61" s="12"/>
      <c r="K61" s="12"/>
      <c r="L61" s="12"/>
      <c r="M61" s="26"/>
      <c r="N61" s="26"/>
    </row>
    <row r="62" spans="1:14" x14ac:dyDescent="0.25">
      <c r="A62" s="13">
        <v>11</v>
      </c>
      <c r="B62" s="5" t="s">
        <v>59</v>
      </c>
      <c r="C62" s="349" t="s">
        <v>60</v>
      </c>
      <c r="D62" s="349"/>
      <c r="E62" s="349"/>
      <c r="F62" s="15"/>
      <c r="G62" s="15"/>
      <c r="H62" s="51"/>
      <c r="I62" s="15"/>
      <c r="J62" s="15"/>
      <c r="K62" s="26"/>
      <c r="L62" s="12"/>
      <c r="M62" s="26"/>
      <c r="N62" s="26"/>
    </row>
    <row r="63" spans="1:14" x14ac:dyDescent="0.25">
      <c r="A63" s="13"/>
      <c r="B63" s="19"/>
      <c r="C63" s="19"/>
      <c r="D63" s="19"/>
      <c r="E63" s="19"/>
      <c r="F63" s="19"/>
      <c r="G63" s="19"/>
      <c r="H63" s="52"/>
      <c r="I63" s="52"/>
      <c r="J63" s="19"/>
      <c r="K63" s="26"/>
      <c r="L63" s="26"/>
      <c r="M63" s="26"/>
      <c r="N63" s="26"/>
    </row>
    <row r="64" spans="1:14" x14ac:dyDescent="0.25">
      <c r="A64" s="13">
        <v>12</v>
      </c>
      <c r="B64" s="15" t="s">
        <v>61</v>
      </c>
      <c r="C64" s="15"/>
      <c r="D64" s="15"/>
      <c r="E64" s="15"/>
      <c r="F64" s="15"/>
      <c r="G64" s="15"/>
      <c r="H64" s="15"/>
      <c r="I64" s="15"/>
      <c r="J64" s="15"/>
      <c r="K64" s="15"/>
      <c r="L64" s="15"/>
      <c r="M64" s="15"/>
      <c r="N64" s="15"/>
    </row>
    <row r="65" spans="1:14" x14ac:dyDescent="0.25">
      <c r="A65" s="13"/>
      <c r="B65" s="15"/>
      <c r="C65" s="15"/>
      <c r="D65" s="15"/>
      <c r="E65" s="15"/>
      <c r="F65" s="15"/>
      <c r="G65" s="15"/>
      <c r="H65" s="15"/>
      <c r="I65" s="15"/>
      <c r="J65" s="15"/>
      <c r="K65" s="15"/>
      <c r="L65" s="15"/>
      <c r="M65" s="15"/>
      <c r="N65" s="15"/>
    </row>
    <row r="66" spans="1:14" x14ac:dyDescent="0.25">
      <c r="A66" s="13"/>
      <c r="B66" s="21" t="s">
        <v>62</v>
      </c>
      <c r="C66" s="23" t="s">
        <v>161</v>
      </c>
      <c r="D66" s="19"/>
      <c r="E66" s="19"/>
      <c r="F66" s="52"/>
      <c r="G66" s="52"/>
      <c r="H66" s="19"/>
      <c r="I66" s="19"/>
      <c r="J66" s="19"/>
      <c r="K66" s="19"/>
      <c r="L66" s="19"/>
      <c r="M66" s="19"/>
      <c r="N66" s="19"/>
    </row>
    <row r="67" spans="1:14" x14ac:dyDescent="0.25">
      <c r="A67" s="13"/>
      <c r="B67" s="19"/>
      <c r="C67" s="19"/>
      <c r="D67" s="19"/>
      <c r="E67" s="19"/>
      <c r="F67" s="19"/>
      <c r="G67" s="19"/>
      <c r="H67" s="19"/>
      <c r="I67" s="19"/>
      <c r="J67" s="19"/>
      <c r="K67" s="19"/>
      <c r="L67" s="19"/>
      <c r="M67" s="19"/>
      <c r="N67" s="19"/>
    </row>
    <row r="68" spans="1:14" x14ac:dyDescent="0.25">
      <c r="A68" s="13"/>
      <c r="B68" s="333" t="s">
        <v>64</v>
      </c>
      <c r="C68" s="372" t="s">
        <v>162</v>
      </c>
      <c r="D68" s="372" t="s">
        <v>163</v>
      </c>
      <c r="E68" s="336" t="s">
        <v>164</v>
      </c>
      <c r="F68" s="327" t="s">
        <v>68</v>
      </c>
      <c r="G68" s="328"/>
      <c r="H68" s="329"/>
      <c r="I68" s="330" t="s">
        <v>69</v>
      </c>
      <c r="J68" s="330"/>
      <c r="K68" s="330"/>
      <c r="L68" s="330" t="s">
        <v>70</v>
      </c>
      <c r="M68" s="330"/>
      <c r="N68" s="330"/>
    </row>
    <row r="69" spans="1:14" ht="38.25" x14ac:dyDescent="0.25">
      <c r="A69" s="4"/>
      <c r="B69" s="333"/>
      <c r="C69" s="335"/>
      <c r="D69" s="335"/>
      <c r="E69" s="337"/>
      <c r="F69" s="21" t="s">
        <v>71</v>
      </c>
      <c r="G69" s="21" t="s">
        <v>72</v>
      </c>
      <c r="H69" s="21" t="s">
        <v>73</v>
      </c>
      <c r="I69" s="21" t="s">
        <v>74</v>
      </c>
      <c r="J69" s="21" t="s">
        <v>72</v>
      </c>
      <c r="K69" s="21" t="s">
        <v>73</v>
      </c>
      <c r="L69" s="21" t="s">
        <v>74</v>
      </c>
      <c r="M69" s="21" t="s">
        <v>72</v>
      </c>
      <c r="N69" s="21" t="s">
        <v>73</v>
      </c>
    </row>
    <row r="70" spans="1:14" x14ac:dyDescent="0.25">
      <c r="A70" s="4"/>
      <c r="B70" s="21" t="s">
        <v>165</v>
      </c>
      <c r="C70" s="54">
        <v>333.05</v>
      </c>
      <c r="D70" s="54">
        <v>326</v>
      </c>
      <c r="E70" s="54">
        <v>325</v>
      </c>
      <c r="F70" s="54">
        <v>345</v>
      </c>
      <c r="G70" s="54">
        <v>375</v>
      </c>
      <c r="H70" s="54">
        <v>310</v>
      </c>
      <c r="I70" s="53">
        <v>400</v>
      </c>
      <c r="J70" s="53">
        <v>525</v>
      </c>
      <c r="K70" s="53">
        <v>320</v>
      </c>
      <c r="L70" s="53">
        <v>479</v>
      </c>
      <c r="M70" s="53">
        <v>816</v>
      </c>
      <c r="N70" s="53">
        <v>382</v>
      </c>
    </row>
    <row r="71" spans="1:14" ht="25.5" x14ac:dyDescent="0.25">
      <c r="A71" s="4"/>
      <c r="B71" s="21" t="s">
        <v>166</v>
      </c>
      <c r="C71" s="87">
        <v>8355.85</v>
      </c>
      <c r="D71" s="87">
        <v>7789.3</v>
      </c>
      <c r="E71" s="88">
        <v>7783.35</v>
      </c>
      <c r="F71" s="89">
        <v>7738.4</v>
      </c>
      <c r="G71" s="88">
        <v>8844.7999999999993</v>
      </c>
      <c r="H71" s="90">
        <v>6825.8</v>
      </c>
      <c r="I71" s="53">
        <v>9173.75</v>
      </c>
      <c r="J71" s="53">
        <v>9218.4</v>
      </c>
      <c r="K71" s="53">
        <v>7526.7</v>
      </c>
      <c r="L71" s="54">
        <v>10113.700000000001</v>
      </c>
      <c r="M71" s="54">
        <v>11171.55</v>
      </c>
      <c r="N71" s="56">
        <v>11075.95</v>
      </c>
    </row>
    <row r="72" spans="1:14" x14ac:dyDescent="0.25">
      <c r="A72" s="4"/>
      <c r="B72" s="331" t="s">
        <v>167</v>
      </c>
      <c r="C72" s="390"/>
      <c r="D72" s="390"/>
      <c r="E72" s="390"/>
      <c r="F72" s="390"/>
      <c r="G72" s="390"/>
      <c r="H72" s="390"/>
      <c r="I72" s="331"/>
      <c r="J72" s="331"/>
      <c r="K72" s="331"/>
      <c r="L72" s="331"/>
      <c r="M72" s="331"/>
      <c r="N72" s="331"/>
    </row>
    <row r="73" spans="1:14" ht="13.5" x14ac:dyDescent="0.25">
      <c r="A73" s="4"/>
      <c r="B73" s="383" t="s">
        <v>156</v>
      </c>
      <c r="C73" s="383"/>
      <c r="D73" s="383"/>
      <c r="E73" s="383"/>
      <c r="F73" s="383"/>
      <c r="G73" s="383"/>
      <c r="H73" s="383"/>
      <c r="I73" s="383"/>
      <c r="J73" s="383"/>
      <c r="K73" s="383"/>
      <c r="L73" s="383"/>
      <c r="M73" s="383"/>
      <c r="N73" s="383"/>
    </row>
    <row r="74" spans="1:14" x14ac:dyDescent="0.25">
      <c r="A74" s="4"/>
      <c r="B74" s="382" t="s">
        <v>79</v>
      </c>
      <c r="C74" s="382"/>
      <c r="D74" s="382"/>
      <c r="E74" s="382"/>
      <c r="F74" s="382"/>
      <c r="G74" s="382"/>
      <c r="H74" s="382"/>
      <c r="I74" s="382"/>
      <c r="J74" s="382"/>
      <c r="K74" s="382"/>
      <c r="L74" s="382"/>
      <c r="M74" s="382"/>
      <c r="N74" s="382"/>
    </row>
    <row r="75" spans="1:14" s="57" customFormat="1" x14ac:dyDescent="0.25">
      <c r="B75" s="382" t="s">
        <v>80</v>
      </c>
      <c r="C75" s="382"/>
      <c r="D75" s="382"/>
      <c r="E75" s="382"/>
      <c r="F75" s="382"/>
      <c r="G75" s="382"/>
      <c r="H75" s="382"/>
      <c r="I75" s="382"/>
      <c r="J75" s="382"/>
      <c r="K75" s="382"/>
      <c r="L75" s="382"/>
      <c r="M75" s="382"/>
      <c r="N75" s="382"/>
    </row>
    <row r="76" spans="1:14" x14ac:dyDescent="0.25">
      <c r="A76" s="4"/>
      <c r="B76" s="382" t="s">
        <v>168</v>
      </c>
      <c r="C76" s="382"/>
      <c r="D76" s="382"/>
      <c r="E76" s="382"/>
      <c r="F76" s="382"/>
      <c r="G76" s="382"/>
      <c r="H76" s="382"/>
      <c r="I76" s="382"/>
      <c r="J76" s="382"/>
      <c r="K76" s="382"/>
      <c r="L76" s="382"/>
      <c r="M76" s="382"/>
      <c r="N76" s="382"/>
    </row>
    <row r="77" spans="1:14" x14ac:dyDescent="0.25">
      <c r="A77" s="4"/>
      <c r="B77" s="382" t="s">
        <v>82</v>
      </c>
      <c r="C77" s="382"/>
      <c r="D77" s="382"/>
      <c r="E77" s="382"/>
      <c r="F77" s="382"/>
      <c r="G77" s="382"/>
      <c r="H77" s="382"/>
      <c r="I77" s="382"/>
      <c r="J77" s="382"/>
      <c r="K77" s="382"/>
      <c r="L77" s="382"/>
      <c r="M77" s="382"/>
      <c r="N77" s="382"/>
    </row>
    <row r="78" spans="1:14" x14ac:dyDescent="0.25">
      <c r="A78" s="4"/>
      <c r="B78" s="58"/>
      <c r="C78" s="58"/>
      <c r="D78" s="58"/>
      <c r="E78" s="58"/>
      <c r="F78" s="58"/>
      <c r="G78" s="17"/>
      <c r="H78" s="17"/>
      <c r="I78" s="17"/>
      <c r="J78" s="17"/>
      <c r="K78" s="17"/>
      <c r="L78" s="17"/>
      <c r="M78" s="17"/>
      <c r="N78" s="17"/>
    </row>
    <row r="79" spans="1:14" x14ac:dyDescent="0.25">
      <c r="A79" s="13">
        <v>13</v>
      </c>
      <c r="B79" s="338" t="s">
        <v>83</v>
      </c>
      <c r="C79" s="339"/>
      <c r="D79" s="339"/>
      <c r="E79" s="339"/>
      <c r="F79" s="339"/>
      <c r="G79" s="340"/>
      <c r="H79" s="15"/>
      <c r="I79" s="15"/>
      <c r="J79" s="15"/>
      <c r="K79" s="15"/>
      <c r="L79" s="15"/>
      <c r="M79" s="15"/>
      <c r="N79" s="15"/>
    </row>
    <row r="80" spans="1:14" x14ac:dyDescent="0.25">
      <c r="A80" s="13"/>
      <c r="B80" s="26"/>
      <c r="C80" s="19"/>
      <c r="D80" s="19"/>
      <c r="E80" s="19"/>
      <c r="F80" s="19"/>
      <c r="G80" s="19"/>
      <c r="H80" s="19"/>
      <c r="I80" s="19"/>
      <c r="J80" s="19"/>
      <c r="K80" s="19"/>
      <c r="L80" s="19"/>
      <c r="M80" s="19"/>
      <c r="N80" s="19"/>
    </row>
    <row r="81" spans="1:14" ht="102" x14ac:dyDescent="0.25">
      <c r="A81" s="4"/>
      <c r="B81" s="59" t="s">
        <v>84</v>
      </c>
      <c r="C81" s="22" t="s">
        <v>85</v>
      </c>
      <c r="D81" s="22" t="s">
        <v>86</v>
      </c>
      <c r="E81" s="22" t="s">
        <v>143</v>
      </c>
      <c r="F81" s="22" t="s">
        <v>88</v>
      </c>
      <c r="G81" s="22" t="s">
        <v>169</v>
      </c>
      <c r="H81" s="17"/>
      <c r="I81" s="17"/>
      <c r="J81" s="17"/>
      <c r="K81" s="17"/>
      <c r="L81" s="17"/>
      <c r="M81" s="17"/>
      <c r="N81" s="17"/>
    </row>
    <row r="82" spans="1:14" ht="12.75" customHeight="1" x14ac:dyDescent="0.2">
      <c r="A82" s="4"/>
      <c r="B82" s="316" t="s">
        <v>90</v>
      </c>
      <c r="C82" s="5" t="s">
        <v>170</v>
      </c>
      <c r="D82" s="91">
        <v>46.49</v>
      </c>
      <c r="E82" s="61">
        <v>78.98</v>
      </c>
      <c r="F82" s="80">
        <v>66.62</v>
      </c>
      <c r="G82" s="80">
        <v>111.82</v>
      </c>
      <c r="H82" s="62"/>
      <c r="I82" s="62"/>
      <c r="J82" s="62"/>
      <c r="K82" s="62"/>
      <c r="L82" s="62"/>
      <c r="M82" s="62"/>
      <c r="N82" s="62"/>
    </row>
    <row r="83" spans="1:14" x14ac:dyDescent="0.25">
      <c r="A83" s="4"/>
      <c r="B83" s="316"/>
      <c r="C83" s="5" t="s">
        <v>171</v>
      </c>
      <c r="D83" s="92" t="s">
        <v>126</v>
      </c>
      <c r="E83" s="81" t="s">
        <v>126</v>
      </c>
      <c r="F83" s="81" t="s">
        <v>126</v>
      </c>
      <c r="G83" s="81" t="s">
        <v>126</v>
      </c>
      <c r="H83" s="62"/>
      <c r="I83" s="62"/>
      <c r="J83" s="62"/>
      <c r="K83" s="62"/>
      <c r="L83" s="62"/>
      <c r="M83" s="62"/>
      <c r="N83" s="62"/>
    </row>
    <row r="84" spans="1:14" x14ac:dyDescent="0.25">
      <c r="A84" s="4"/>
      <c r="B84" s="316"/>
      <c r="C84" s="5" t="s">
        <v>93</v>
      </c>
      <c r="D84" s="92" t="s">
        <v>126</v>
      </c>
      <c r="E84" s="81" t="s">
        <v>126</v>
      </c>
      <c r="F84" s="81" t="s">
        <v>126</v>
      </c>
      <c r="G84" s="81" t="s">
        <v>126</v>
      </c>
      <c r="H84" s="62"/>
      <c r="I84" s="62"/>
      <c r="J84" s="62"/>
      <c r="K84" s="62"/>
      <c r="L84" s="62"/>
      <c r="M84" s="62"/>
      <c r="N84" s="62"/>
    </row>
    <row r="85" spans="1:14" x14ac:dyDescent="0.2">
      <c r="A85" s="4"/>
      <c r="B85" s="316" t="s">
        <v>94</v>
      </c>
      <c r="C85" s="5" t="s">
        <v>170</v>
      </c>
      <c r="D85" s="93">
        <v>11</v>
      </c>
      <c r="E85" s="61">
        <v>4.3600000000000003</v>
      </c>
      <c r="F85" s="80">
        <v>6</v>
      </c>
      <c r="G85" s="85">
        <f>L70/G82</f>
        <v>4.283670184224647</v>
      </c>
      <c r="H85" s="62"/>
      <c r="I85" s="62"/>
      <c r="J85" s="62"/>
      <c r="K85" s="62"/>
      <c r="L85" s="62"/>
      <c r="M85" s="62"/>
      <c r="N85" s="62"/>
    </row>
    <row r="86" spans="1:14" x14ac:dyDescent="0.25">
      <c r="A86" s="4"/>
      <c r="B86" s="316"/>
      <c r="C86" s="5" t="s">
        <v>171</v>
      </c>
      <c r="D86" s="92" t="s">
        <v>126</v>
      </c>
      <c r="E86" s="81" t="s">
        <v>126</v>
      </c>
      <c r="F86" s="81" t="s">
        <v>126</v>
      </c>
      <c r="G86" s="81" t="s">
        <v>126</v>
      </c>
      <c r="H86" s="62"/>
      <c r="I86" s="62"/>
      <c r="J86" s="62"/>
      <c r="K86" s="62"/>
      <c r="L86" s="62"/>
      <c r="M86" s="62"/>
      <c r="N86" s="62"/>
    </row>
    <row r="87" spans="1:14" x14ac:dyDescent="0.25">
      <c r="A87" s="4"/>
      <c r="B87" s="316"/>
      <c r="C87" s="5" t="s">
        <v>93</v>
      </c>
      <c r="D87" s="92" t="s">
        <v>126</v>
      </c>
      <c r="E87" s="81" t="s">
        <v>126</v>
      </c>
      <c r="F87" s="81" t="s">
        <v>126</v>
      </c>
      <c r="G87" s="81" t="s">
        <v>126</v>
      </c>
      <c r="H87" s="62"/>
      <c r="I87" s="62"/>
      <c r="J87" s="62"/>
      <c r="K87" s="62"/>
      <c r="L87" s="62"/>
      <c r="M87" s="62"/>
      <c r="N87" s="62"/>
    </row>
    <row r="88" spans="1:14" x14ac:dyDescent="0.2">
      <c r="A88" s="4"/>
      <c r="B88" s="316" t="s">
        <v>95</v>
      </c>
      <c r="C88" s="5" t="s">
        <v>170</v>
      </c>
      <c r="D88" s="91">
        <v>15.53</v>
      </c>
      <c r="E88" s="61">
        <v>19.41</v>
      </c>
      <c r="F88" s="80">
        <v>14.03</v>
      </c>
      <c r="G88" s="86">
        <f>1988.84/10392.67</f>
        <v>0.19136949407611326</v>
      </c>
      <c r="H88" s="62"/>
      <c r="I88" s="62"/>
      <c r="J88" s="62"/>
      <c r="K88" s="62"/>
      <c r="L88" s="62"/>
      <c r="M88" s="62"/>
      <c r="N88" s="62"/>
    </row>
    <row r="89" spans="1:14" x14ac:dyDescent="0.25">
      <c r="A89" s="4"/>
      <c r="B89" s="316"/>
      <c r="C89" s="5" t="s">
        <v>171</v>
      </c>
      <c r="D89" s="92" t="s">
        <v>126</v>
      </c>
      <c r="E89" s="81" t="s">
        <v>126</v>
      </c>
      <c r="F89" s="81" t="s">
        <v>126</v>
      </c>
      <c r="G89" s="81" t="s">
        <v>126</v>
      </c>
      <c r="H89" s="62"/>
      <c r="I89" s="62"/>
      <c r="J89" s="62"/>
      <c r="K89" s="62"/>
      <c r="L89" s="62"/>
      <c r="M89" s="62"/>
      <c r="N89" s="62"/>
    </row>
    <row r="90" spans="1:14" x14ac:dyDescent="0.25">
      <c r="A90" s="4"/>
      <c r="B90" s="316"/>
      <c r="C90" s="5" t="s">
        <v>93</v>
      </c>
      <c r="D90" s="92" t="s">
        <v>126</v>
      </c>
      <c r="E90" s="81" t="s">
        <v>126</v>
      </c>
      <c r="F90" s="81" t="s">
        <v>126</v>
      </c>
      <c r="G90" s="81" t="s">
        <v>126</v>
      </c>
      <c r="H90" s="62"/>
      <c r="I90" s="62"/>
      <c r="J90" s="62"/>
      <c r="K90" s="66"/>
      <c r="L90" s="62"/>
      <c r="M90" s="62"/>
      <c r="N90" s="62"/>
    </row>
    <row r="91" spans="1:14" x14ac:dyDescent="0.2">
      <c r="A91" s="4"/>
      <c r="B91" s="316" t="s">
        <v>96</v>
      </c>
      <c r="C91" s="5" t="s">
        <v>170</v>
      </c>
      <c r="D91" s="91">
        <v>781.61</v>
      </c>
      <c r="E91" s="61">
        <v>406.83</v>
      </c>
      <c r="F91" s="80">
        <v>474.84</v>
      </c>
      <c r="G91" s="85">
        <f>10392.67/17.78</f>
        <v>584.51462317210348</v>
      </c>
      <c r="H91" s="62"/>
      <c r="I91" s="62"/>
      <c r="J91" s="62"/>
      <c r="K91" s="62"/>
      <c r="L91" s="62"/>
      <c r="M91" s="62"/>
      <c r="N91" s="62"/>
    </row>
    <row r="92" spans="1:14" x14ac:dyDescent="0.25">
      <c r="A92" s="4"/>
      <c r="B92" s="316"/>
      <c r="C92" s="5" t="s">
        <v>171</v>
      </c>
      <c r="D92" s="92" t="s">
        <v>126</v>
      </c>
      <c r="E92" s="81" t="s">
        <v>126</v>
      </c>
      <c r="F92" s="81" t="s">
        <v>126</v>
      </c>
      <c r="G92" s="81"/>
      <c r="H92" s="62"/>
      <c r="I92" s="62"/>
      <c r="J92" s="62"/>
      <c r="K92" s="62"/>
      <c r="L92" s="62"/>
      <c r="M92" s="62"/>
      <c r="N92" s="62"/>
    </row>
    <row r="93" spans="1:14" x14ac:dyDescent="0.25">
      <c r="A93" s="4"/>
      <c r="B93" s="386"/>
      <c r="C93" s="5" t="s">
        <v>93</v>
      </c>
      <c r="D93" s="92" t="s">
        <v>126</v>
      </c>
      <c r="E93" s="81" t="s">
        <v>126</v>
      </c>
      <c r="F93" s="81" t="s">
        <v>126</v>
      </c>
      <c r="G93" s="81"/>
      <c r="H93" s="62"/>
      <c r="I93" s="62"/>
      <c r="J93" s="62"/>
      <c r="K93" s="62"/>
      <c r="L93" s="62"/>
      <c r="M93" s="62"/>
      <c r="N93" s="62"/>
    </row>
    <row r="94" spans="1:14" s="57" customFormat="1" x14ac:dyDescent="0.25">
      <c r="B94" s="387" t="s">
        <v>172</v>
      </c>
      <c r="C94" s="388"/>
      <c r="D94" s="388"/>
      <c r="E94" s="388"/>
      <c r="F94" s="388"/>
      <c r="G94" s="389"/>
    </row>
    <row r="95" spans="1:14" x14ac:dyDescent="0.25">
      <c r="A95" s="4"/>
      <c r="B95" s="376" t="s">
        <v>173</v>
      </c>
      <c r="C95" s="377"/>
      <c r="D95" s="377"/>
      <c r="E95" s="377"/>
      <c r="F95" s="377"/>
      <c r="G95" s="378"/>
      <c r="H95" s="62"/>
      <c r="I95" s="62"/>
      <c r="J95" s="62"/>
      <c r="K95" s="62"/>
      <c r="L95" s="62"/>
      <c r="M95" s="62"/>
      <c r="N95" s="62"/>
    </row>
    <row r="96" spans="1:14" x14ac:dyDescent="0.25">
      <c r="A96" s="4"/>
      <c r="B96" s="379" t="s">
        <v>128</v>
      </c>
      <c r="C96" s="380"/>
      <c r="D96" s="380"/>
      <c r="E96" s="380"/>
      <c r="F96" s="380"/>
      <c r="G96" s="381"/>
      <c r="H96" s="62"/>
      <c r="I96" s="62"/>
      <c r="J96" s="62"/>
      <c r="K96" s="62"/>
      <c r="L96" s="62"/>
      <c r="M96" s="62"/>
      <c r="N96" s="62"/>
    </row>
    <row r="97" spans="1:14" x14ac:dyDescent="0.25">
      <c r="A97" s="4"/>
      <c r="B97" s="353"/>
      <c r="C97" s="354"/>
      <c r="D97" s="354"/>
      <c r="E97" s="354"/>
      <c r="F97" s="354"/>
      <c r="G97" s="355"/>
      <c r="H97" s="62"/>
      <c r="I97" s="62"/>
      <c r="J97" s="62"/>
      <c r="K97" s="62"/>
      <c r="L97" s="62"/>
      <c r="M97" s="62"/>
      <c r="N97" s="62"/>
    </row>
    <row r="98" spans="1:14" x14ac:dyDescent="0.25">
      <c r="A98" s="26"/>
      <c r="B98" s="12"/>
      <c r="C98" s="323"/>
      <c r="D98" s="323"/>
      <c r="E98" s="323"/>
      <c r="F98" s="323"/>
      <c r="G98" s="323"/>
      <c r="H98" s="62"/>
      <c r="I98" s="62"/>
      <c r="J98" s="26"/>
      <c r="K98" s="26"/>
      <c r="L98" s="26"/>
      <c r="M98" s="26"/>
      <c r="N98" s="26"/>
    </row>
    <row r="99" spans="1:14" x14ac:dyDescent="0.25">
      <c r="A99" s="13">
        <v>14</v>
      </c>
      <c r="B99" s="70" t="s">
        <v>99</v>
      </c>
      <c r="C99" s="324" t="s">
        <v>16</v>
      </c>
      <c r="D99" s="325"/>
      <c r="E99" s="325"/>
      <c r="F99" s="325"/>
      <c r="G99" s="326"/>
      <c r="H99" s="26"/>
      <c r="I99" s="26"/>
      <c r="J99" s="26"/>
      <c r="K99" s="26"/>
      <c r="L99" s="26"/>
      <c r="M99" s="26"/>
      <c r="N99" s="26"/>
    </row>
    <row r="100" spans="1:14" x14ac:dyDescent="0.25">
      <c r="A100" s="71"/>
      <c r="B100" s="26"/>
      <c r="C100" s="84"/>
      <c r="D100" s="84"/>
      <c r="E100" s="84"/>
      <c r="F100" s="84"/>
      <c r="G100" s="84"/>
      <c r="H100" s="26"/>
      <c r="I100" s="26"/>
      <c r="J100" s="26"/>
      <c r="K100" s="26"/>
      <c r="L100" s="26"/>
      <c r="M100" s="26"/>
      <c r="N100" s="26"/>
    </row>
    <row r="101" spans="1:14" x14ac:dyDescent="0.25">
      <c r="A101" s="26"/>
      <c r="B101" s="374" t="s">
        <v>174</v>
      </c>
      <c r="C101" s="375"/>
      <c r="D101" s="375"/>
      <c r="E101" s="375"/>
      <c r="F101" s="375"/>
      <c r="G101" s="375"/>
      <c r="H101" s="375"/>
      <c r="I101" s="26"/>
      <c r="J101" s="26"/>
      <c r="K101" s="26"/>
      <c r="L101" s="26"/>
      <c r="M101" s="26"/>
      <c r="N101" s="26"/>
    </row>
    <row r="102" spans="1:14" x14ac:dyDescent="0.25">
      <c r="A102" s="26"/>
      <c r="I102" s="26"/>
      <c r="J102" s="26"/>
      <c r="K102" s="26"/>
      <c r="L102" s="26"/>
      <c r="M102" s="26"/>
      <c r="N102" s="26"/>
    </row>
    <row r="103" spans="1:14" x14ac:dyDescent="0.25">
      <c r="A103" s="26"/>
      <c r="J103" s="26"/>
      <c r="K103" s="26"/>
      <c r="L103" s="26"/>
      <c r="M103" s="26"/>
      <c r="N103" s="26"/>
    </row>
  </sheetData>
  <sheetProtection password="E9DF"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B46:E46"/>
    <mergeCell ref="C22:E22"/>
    <mergeCell ref="B23:E23"/>
    <mergeCell ref="B26:E26"/>
    <mergeCell ref="B27:E27"/>
    <mergeCell ref="B33:E33"/>
    <mergeCell ref="B35:E35"/>
    <mergeCell ref="B39:C39"/>
    <mergeCell ref="B42:E42"/>
    <mergeCell ref="C43:E43"/>
    <mergeCell ref="C44:E44"/>
    <mergeCell ref="C45:E45"/>
    <mergeCell ref="B48:E48"/>
    <mergeCell ref="B50:E50"/>
    <mergeCell ref="B51:E51"/>
    <mergeCell ref="B53:E53"/>
    <mergeCell ref="B54:B55"/>
    <mergeCell ref="C54:E55"/>
    <mergeCell ref="C56:E56"/>
    <mergeCell ref="C57:E57"/>
    <mergeCell ref="B58:E58"/>
    <mergeCell ref="B59:E59"/>
    <mergeCell ref="C62:E62"/>
    <mergeCell ref="B85:B87"/>
    <mergeCell ref="F68:H68"/>
    <mergeCell ref="I68:K68"/>
    <mergeCell ref="L68:N68"/>
    <mergeCell ref="B72:N72"/>
    <mergeCell ref="B73:N73"/>
    <mergeCell ref="B74:N74"/>
    <mergeCell ref="B68:B69"/>
    <mergeCell ref="C68:C69"/>
    <mergeCell ref="D68:D69"/>
    <mergeCell ref="E68:E69"/>
    <mergeCell ref="B75:N75"/>
    <mergeCell ref="B76:N76"/>
    <mergeCell ref="B77:N77"/>
    <mergeCell ref="B79:G79"/>
    <mergeCell ref="B82:B84"/>
    <mergeCell ref="C98:G98"/>
    <mergeCell ref="C99:G99"/>
    <mergeCell ref="B101:H101"/>
    <mergeCell ref="B88:B90"/>
    <mergeCell ref="B91:B93"/>
    <mergeCell ref="B94:G94"/>
    <mergeCell ref="B95:G95"/>
    <mergeCell ref="B96:G96"/>
    <mergeCell ref="B97:G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workbookViewId="0">
      <selection activeCell="B17" sqref="B17:E17"/>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6" width="11.28515625" style="73" customWidth="1"/>
    <col min="7" max="7" width="12.7109375" style="73" customWidth="1"/>
    <col min="8"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203" t="s">
        <v>753</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754</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755</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149" t="s">
        <v>779</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46" t="s">
        <v>15</v>
      </c>
      <c r="C18" s="373" t="s">
        <v>16</v>
      </c>
      <c r="D18" s="373"/>
      <c r="E18" s="373"/>
      <c r="F18" s="19"/>
      <c r="G18" s="17"/>
      <c r="H18" s="17"/>
      <c r="I18" s="17"/>
      <c r="J18" s="17"/>
      <c r="K18" s="17"/>
      <c r="L18" s="17"/>
      <c r="M18" s="17"/>
      <c r="N18" s="17"/>
    </row>
    <row r="19" spans="1:14" ht="25.5" x14ac:dyDescent="0.25">
      <c r="A19" s="13"/>
      <c r="B19" s="228" t="s">
        <v>780</v>
      </c>
      <c r="C19" s="373" t="s">
        <v>16</v>
      </c>
      <c r="D19" s="373"/>
      <c r="E19" s="373"/>
      <c r="F19" s="19"/>
      <c r="G19" s="17"/>
      <c r="H19" s="26"/>
      <c r="I19" s="17"/>
      <c r="J19" s="17"/>
      <c r="K19" s="17"/>
      <c r="L19" s="17"/>
      <c r="M19" s="17"/>
      <c r="N19" s="17"/>
    </row>
    <row r="20" spans="1:14" x14ac:dyDescent="0.25">
      <c r="A20" s="13"/>
      <c r="B20" s="228" t="s">
        <v>664</v>
      </c>
      <c r="C20" s="373" t="s">
        <v>16</v>
      </c>
      <c r="D20" s="373"/>
      <c r="E20" s="373"/>
      <c r="F20" s="19"/>
      <c r="G20" s="17"/>
      <c r="H20" s="17"/>
      <c r="I20" s="17"/>
      <c r="J20" s="17"/>
      <c r="K20" s="17"/>
      <c r="L20" s="17"/>
      <c r="M20" s="17"/>
      <c r="N20" s="17"/>
    </row>
    <row r="21" spans="1:14" x14ac:dyDescent="0.25">
      <c r="A21" s="13"/>
      <c r="B21" s="228" t="s">
        <v>19</v>
      </c>
      <c r="C21" s="373" t="s">
        <v>16</v>
      </c>
      <c r="D21" s="373"/>
      <c r="E21" s="373"/>
      <c r="F21" s="19" t="s">
        <v>750</v>
      </c>
      <c r="G21" s="17"/>
      <c r="H21" s="17"/>
      <c r="I21" s="17"/>
      <c r="J21" s="17"/>
      <c r="K21" s="17"/>
      <c r="L21" s="17"/>
      <c r="M21" s="17"/>
      <c r="N21" s="17"/>
    </row>
    <row r="22" spans="1:14" x14ac:dyDescent="0.25">
      <c r="A22" s="13"/>
      <c r="B22" s="20" t="s">
        <v>20</v>
      </c>
      <c r="C22" s="373" t="s">
        <v>16</v>
      </c>
      <c r="D22" s="373"/>
      <c r="E22" s="373"/>
      <c r="F22" s="19"/>
      <c r="G22" s="17"/>
      <c r="H22" s="17"/>
      <c r="I22" s="17"/>
      <c r="J22" s="17"/>
      <c r="K22" s="17"/>
      <c r="L22" s="17"/>
      <c r="M22" s="17"/>
      <c r="N22" s="17"/>
    </row>
    <row r="23" spans="1:14" x14ac:dyDescent="0.25">
      <c r="A23" s="13"/>
      <c r="B23" s="353"/>
      <c r="C23" s="354"/>
      <c r="D23" s="354"/>
      <c r="E23" s="355"/>
      <c r="F23" s="19"/>
      <c r="G23" s="17"/>
      <c r="H23" s="17"/>
      <c r="I23" s="17"/>
      <c r="J23" s="17"/>
      <c r="K23" s="17"/>
      <c r="L23" s="17"/>
      <c r="M23" s="17"/>
      <c r="N23" s="17"/>
    </row>
    <row r="24" spans="1:14" x14ac:dyDescent="0.25">
      <c r="A24" s="13"/>
      <c r="B24" s="26"/>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324</v>
      </c>
      <c r="D28" s="226" t="s">
        <v>325</v>
      </c>
      <c r="E28" s="226" t="s">
        <v>27</v>
      </c>
      <c r="F28" s="19"/>
      <c r="G28" s="26"/>
      <c r="H28" s="26"/>
      <c r="I28" s="26"/>
      <c r="J28" s="26"/>
      <c r="K28" s="26"/>
      <c r="L28" s="26"/>
      <c r="M28" s="26"/>
      <c r="N28" s="26"/>
    </row>
    <row r="29" spans="1:14" ht="12.75" customHeight="1" x14ac:dyDescent="0.25">
      <c r="A29" s="13"/>
      <c r="B29" s="230" t="s">
        <v>28</v>
      </c>
      <c r="C29" s="232">
        <v>2217.0100000000002</v>
      </c>
      <c r="D29" s="232">
        <v>3840.17</v>
      </c>
      <c r="E29" s="251">
        <v>8029.22</v>
      </c>
      <c r="F29" s="19"/>
      <c r="G29" s="26"/>
      <c r="H29" s="26"/>
      <c r="I29" s="26"/>
      <c r="J29" s="26"/>
      <c r="K29" s="26"/>
      <c r="L29" s="26"/>
      <c r="M29" s="26"/>
      <c r="N29" s="26"/>
    </row>
    <row r="30" spans="1:14" x14ac:dyDescent="0.25">
      <c r="A30" s="13"/>
      <c r="B30" s="230" t="s">
        <v>29</v>
      </c>
      <c r="C30" s="232">
        <v>160.5</v>
      </c>
      <c r="D30" s="232">
        <v>68.2</v>
      </c>
      <c r="E30" s="251">
        <v>149.21</v>
      </c>
      <c r="F30" s="19"/>
      <c r="G30" s="26"/>
      <c r="H30" s="26"/>
      <c r="I30" s="26"/>
      <c r="J30" s="26"/>
      <c r="K30" s="26"/>
      <c r="L30" s="26"/>
      <c r="M30" s="26"/>
      <c r="N30" s="26"/>
    </row>
    <row r="31" spans="1:14" x14ac:dyDescent="0.25">
      <c r="A31" s="13"/>
      <c r="B31" s="230" t="s">
        <v>30</v>
      </c>
      <c r="C31" s="232">
        <v>423.75</v>
      </c>
      <c r="D31" s="232">
        <v>423.75</v>
      </c>
      <c r="E31" s="251">
        <v>423.75</v>
      </c>
      <c r="F31" s="19"/>
      <c r="G31" s="26"/>
      <c r="H31" s="26"/>
      <c r="I31" s="26"/>
      <c r="J31" s="26"/>
      <c r="K31" s="26"/>
      <c r="L31" s="26"/>
      <c r="M31" s="26"/>
      <c r="N31" s="26"/>
    </row>
    <row r="32" spans="1:14" x14ac:dyDescent="0.25">
      <c r="A32" s="13"/>
      <c r="B32" s="230" t="s">
        <v>31</v>
      </c>
      <c r="C32" s="232">
        <v>1044.45</v>
      </c>
      <c r="D32" s="232">
        <v>1180.3</v>
      </c>
      <c r="E32" s="251">
        <v>1329.51</v>
      </c>
      <c r="F32" s="19"/>
      <c r="G32" s="26"/>
      <c r="H32" s="26"/>
      <c r="I32" s="26"/>
      <c r="J32" s="26"/>
      <c r="K32" s="26"/>
      <c r="L32" s="26"/>
      <c r="M32" s="26"/>
      <c r="N32" s="26"/>
    </row>
    <row r="33" spans="1:14" x14ac:dyDescent="0.25">
      <c r="A33" s="13"/>
      <c r="B33" s="353" t="s">
        <v>306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245</v>
      </c>
      <c r="D36" s="17"/>
      <c r="E36" s="17"/>
      <c r="F36" s="17"/>
      <c r="G36" s="26"/>
      <c r="H36" s="26"/>
      <c r="I36" s="26"/>
      <c r="J36" s="26"/>
      <c r="K36" s="26"/>
      <c r="L36" s="26"/>
      <c r="M36" s="26"/>
      <c r="N36" s="26"/>
    </row>
    <row r="37" spans="1:14" x14ac:dyDescent="0.25">
      <c r="A37" s="13"/>
      <c r="B37" s="227" t="s">
        <v>36</v>
      </c>
      <c r="C37" s="232" t="s">
        <v>245</v>
      </c>
      <c r="D37" s="17"/>
      <c r="E37" s="17"/>
      <c r="F37" s="17"/>
      <c r="G37" s="26"/>
      <c r="H37" s="26"/>
      <c r="I37" s="26"/>
      <c r="J37" s="26"/>
      <c r="K37" s="26"/>
      <c r="L37" s="26"/>
      <c r="M37" s="26"/>
      <c r="N37" s="26"/>
    </row>
    <row r="38" spans="1:14" x14ac:dyDescent="0.25">
      <c r="A38" s="13"/>
      <c r="B38" s="233" t="s">
        <v>37</v>
      </c>
      <c r="C38" s="251" t="s">
        <v>873</v>
      </c>
      <c r="D38" s="17"/>
      <c r="E38" s="17"/>
      <c r="F38" s="17"/>
      <c r="G38" s="26"/>
      <c r="H38" s="26"/>
      <c r="I38" s="26"/>
      <c r="J38" s="26"/>
      <c r="K38" s="26"/>
      <c r="L38" s="26"/>
      <c r="M38" s="26"/>
      <c r="N38" s="26"/>
    </row>
    <row r="39" spans="1:14" x14ac:dyDescent="0.25">
      <c r="A39" s="13"/>
      <c r="B39" s="382"/>
      <c r="C39" s="382"/>
      <c r="D39" s="17"/>
      <c r="E39" s="17"/>
      <c r="F39" s="17"/>
      <c r="G39" s="26"/>
      <c r="H39" s="26"/>
      <c r="I39" s="26"/>
      <c r="J39" s="26"/>
      <c r="K39" s="26"/>
      <c r="L39" s="26"/>
      <c r="M39" s="26"/>
      <c r="N39" s="26"/>
    </row>
    <row r="40" spans="1:14" x14ac:dyDescent="0.25">
      <c r="A40" s="13"/>
      <c r="B40" s="12"/>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792</v>
      </c>
      <c r="D43" s="351"/>
      <c r="E43" s="352"/>
      <c r="F43" s="17"/>
      <c r="G43" s="26"/>
      <c r="H43" s="26"/>
      <c r="I43" s="26"/>
      <c r="J43" s="26"/>
      <c r="K43" s="26"/>
      <c r="L43" s="26"/>
      <c r="M43" s="26"/>
      <c r="N43" s="26"/>
    </row>
    <row r="44" spans="1:14" ht="30.75" customHeight="1" x14ac:dyDescent="0.25">
      <c r="A44" s="13"/>
      <c r="B44" s="227" t="s">
        <v>36</v>
      </c>
      <c r="C44" s="350" t="s">
        <v>883</v>
      </c>
      <c r="D44" s="351"/>
      <c r="E44" s="352"/>
      <c r="F44" s="17"/>
      <c r="G44" s="26"/>
      <c r="H44" s="26"/>
      <c r="I44" s="26"/>
      <c r="J44" s="26"/>
      <c r="K44" s="26"/>
      <c r="L44" s="26"/>
      <c r="M44" s="26"/>
      <c r="N44" s="26"/>
    </row>
    <row r="45" spans="1:14" ht="42.75" customHeight="1" x14ac:dyDescent="0.25">
      <c r="A45" s="13"/>
      <c r="B45" s="227" t="s">
        <v>37</v>
      </c>
      <c r="C45" s="367" t="s">
        <v>884</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c r="N48" s="26"/>
    </row>
    <row r="49" spans="1:14" ht="25.5" x14ac:dyDescent="0.25">
      <c r="A49" s="29"/>
      <c r="B49" s="225" t="s">
        <v>42</v>
      </c>
      <c r="C49" s="32" t="s">
        <v>43</v>
      </c>
      <c r="D49" s="33" t="s">
        <v>44</v>
      </c>
      <c r="E49" s="32" t="s">
        <v>268</v>
      </c>
      <c r="F49" s="26"/>
      <c r="G49" s="26"/>
      <c r="H49" s="26"/>
      <c r="I49" s="26"/>
      <c r="J49" s="26"/>
      <c r="K49" s="26"/>
      <c r="L49" s="26"/>
      <c r="M49" s="26"/>
      <c r="N49" s="26"/>
    </row>
    <row r="50" spans="1:14" ht="76.5" x14ac:dyDescent="0.25">
      <c r="A50" s="34"/>
      <c r="B50" s="94" t="s">
        <v>369</v>
      </c>
      <c r="C50" s="94" t="s">
        <v>785</v>
      </c>
      <c r="D50" s="33" t="s">
        <v>248</v>
      </c>
      <c r="E50" s="32" t="s">
        <v>248</v>
      </c>
      <c r="F50" s="26"/>
      <c r="G50" s="26"/>
      <c r="H50" s="26"/>
      <c r="I50" s="26"/>
      <c r="J50" s="26"/>
      <c r="K50" s="26"/>
      <c r="L50" s="26"/>
      <c r="M50" s="26"/>
      <c r="N50" s="26"/>
    </row>
    <row r="51" spans="1:14" x14ac:dyDescent="0.25">
      <c r="A51" s="36"/>
      <c r="B51" s="345" t="s">
        <v>784</v>
      </c>
      <c r="C51" s="346"/>
      <c r="D51" s="346"/>
      <c r="E51" s="347"/>
      <c r="F51" s="19"/>
      <c r="G51" s="19"/>
      <c r="H51" s="19"/>
      <c r="I51" s="26"/>
      <c r="J51" s="26"/>
      <c r="K51" s="26"/>
      <c r="L51" s="26"/>
      <c r="M51" s="26"/>
      <c r="N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c r="N53" s="26"/>
    </row>
    <row r="54" spans="1:14" x14ac:dyDescent="0.25">
      <c r="A54" s="34"/>
      <c r="B54" s="357" t="s">
        <v>50</v>
      </c>
      <c r="C54" s="394" t="s">
        <v>756</v>
      </c>
      <c r="D54" s="395"/>
      <c r="E54" s="396"/>
      <c r="F54" s="26"/>
      <c r="G54" s="26"/>
      <c r="H54" s="26"/>
      <c r="I54" s="26"/>
      <c r="J54" s="26"/>
      <c r="K54" s="2"/>
      <c r="L54" s="26"/>
      <c r="M54" s="26"/>
      <c r="N54" s="26"/>
    </row>
    <row r="55" spans="1:14" ht="43.5" customHeight="1" x14ac:dyDescent="0.25">
      <c r="A55" s="34"/>
      <c r="B55" s="358"/>
      <c r="C55" s="397"/>
      <c r="D55" s="398"/>
      <c r="E55" s="399"/>
      <c r="F55" s="26"/>
      <c r="G55" s="26"/>
      <c r="H55" s="26"/>
      <c r="I55" s="26"/>
      <c r="J55" s="26"/>
      <c r="K55" s="2"/>
      <c r="L55" s="26"/>
      <c r="M55" s="26"/>
      <c r="N55" s="26"/>
    </row>
    <row r="56" spans="1:14" x14ac:dyDescent="0.25">
      <c r="A56" s="29"/>
      <c r="B56" s="39" t="s">
        <v>54</v>
      </c>
      <c r="C56" s="344" t="s">
        <v>248</v>
      </c>
      <c r="D56" s="344"/>
      <c r="E56" s="344"/>
      <c r="F56" s="26"/>
      <c r="G56" s="26"/>
      <c r="H56" s="26"/>
      <c r="I56" s="26"/>
      <c r="J56" s="26"/>
      <c r="K56" s="12"/>
      <c r="L56" s="26"/>
      <c r="M56" s="26"/>
      <c r="N56" s="26"/>
    </row>
    <row r="57" spans="1:14" x14ac:dyDescent="0.25">
      <c r="A57" s="34"/>
      <c r="B57" s="39" t="s">
        <v>55</v>
      </c>
      <c r="C57" s="344" t="s">
        <v>56</v>
      </c>
      <c r="D57" s="344"/>
      <c r="E57" s="344"/>
      <c r="F57" s="26"/>
      <c r="G57" s="26"/>
      <c r="H57" s="26"/>
      <c r="I57" s="26"/>
      <c r="J57" s="26"/>
      <c r="K57" s="40"/>
      <c r="L57" s="26"/>
      <c r="M57" s="26"/>
      <c r="N57" s="26"/>
    </row>
    <row r="58" spans="1:14" x14ac:dyDescent="0.25">
      <c r="A58" s="34"/>
      <c r="B58" s="345" t="s">
        <v>781</v>
      </c>
      <c r="C58" s="346"/>
      <c r="D58" s="346"/>
      <c r="E58" s="347"/>
      <c r="F58" s="26"/>
      <c r="G58" s="26"/>
      <c r="H58" s="26"/>
      <c r="I58" s="26"/>
      <c r="J58" s="26"/>
      <c r="K58" s="40"/>
      <c r="L58" s="26"/>
      <c r="M58" s="26"/>
      <c r="N58" s="26"/>
    </row>
    <row r="59" spans="1:14" s="76" customFormat="1" x14ac:dyDescent="0.2">
      <c r="A59" s="41" t="s">
        <v>57</v>
      </c>
      <c r="B59" s="384" t="s">
        <v>58</v>
      </c>
      <c r="C59" s="384"/>
      <c r="D59" s="384"/>
      <c r="E59" s="384"/>
      <c r="F59" s="239"/>
      <c r="G59" s="239"/>
      <c r="H59" s="239"/>
      <c r="I59" s="239"/>
      <c r="J59" s="239"/>
      <c r="K59" s="239"/>
      <c r="L59" s="239"/>
      <c r="M59" s="239"/>
      <c r="N59" s="239"/>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51"/>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5" x14ac:dyDescent="0.25">
      <c r="A65" s="13"/>
      <c r="B65" s="227" t="s">
        <v>62</v>
      </c>
      <c r="C65" s="230" t="s">
        <v>786</v>
      </c>
      <c r="D65" s="19"/>
      <c r="E65" s="150"/>
      <c r="F65" s="52"/>
      <c r="G65" s="52"/>
      <c r="H65" s="19"/>
      <c r="I65" s="19"/>
      <c r="J65" s="19"/>
      <c r="K65" s="19"/>
      <c r="L65" s="19"/>
      <c r="M65" s="19"/>
      <c r="N65" s="19"/>
    </row>
    <row r="66" spans="1:15" x14ac:dyDescent="0.25">
      <c r="A66" s="13"/>
      <c r="B66" s="19"/>
      <c r="C66" s="19"/>
      <c r="D66" s="19"/>
      <c r="E66" s="19"/>
      <c r="F66" s="19"/>
      <c r="G66" s="19"/>
      <c r="H66" s="19"/>
      <c r="I66" s="19"/>
      <c r="J66" s="19"/>
      <c r="K66" s="19"/>
      <c r="L66" s="19"/>
      <c r="M66" s="19"/>
      <c r="N66" s="19"/>
    </row>
    <row r="67" spans="1:15" x14ac:dyDescent="0.25">
      <c r="A67" s="13"/>
      <c r="B67" s="333" t="s">
        <v>64</v>
      </c>
      <c r="C67" s="372" t="s">
        <v>782</v>
      </c>
      <c r="D67" s="372" t="s">
        <v>333</v>
      </c>
      <c r="E67" s="336" t="s">
        <v>294</v>
      </c>
      <c r="F67" s="327" t="s">
        <v>937</v>
      </c>
      <c r="G67" s="328"/>
      <c r="H67" s="329"/>
      <c r="I67" s="330" t="s">
        <v>938</v>
      </c>
      <c r="J67" s="330"/>
      <c r="K67" s="330"/>
      <c r="L67" s="330" t="s">
        <v>70</v>
      </c>
      <c r="M67" s="330"/>
      <c r="N67" s="330"/>
    </row>
    <row r="68" spans="1:15"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5" x14ac:dyDescent="0.25">
      <c r="A69" s="4"/>
      <c r="B69" s="227" t="s">
        <v>165</v>
      </c>
      <c r="C69" s="131">
        <v>28.5</v>
      </c>
      <c r="D69" s="53">
        <v>19.5</v>
      </c>
      <c r="E69" s="53">
        <v>18.55</v>
      </c>
      <c r="F69" s="53">
        <v>21.6</v>
      </c>
      <c r="G69" s="53">
        <v>30</v>
      </c>
      <c r="H69" s="53">
        <v>16.25</v>
      </c>
      <c r="I69" s="53">
        <v>12</v>
      </c>
      <c r="J69" s="53">
        <v>23</v>
      </c>
      <c r="K69" s="53">
        <v>12</v>
      </c>
      <c r="L69" s="53">
        <v>16.7</v>
      </c>
      <c r="M69" s="53">
        <v>16.7</v>
      </c>
      <c r="N69" s="53">
        <v>16.7</v>
      </c>
    </row>
    <row r="70" spans="1:15" ht="25.5" x14ac:dyDescent="0.25">
      <c r="A70" s="4"/>
      <c r="B70" s="227" t="s">
        <v>686</v>
      </c>
      <c r="C70" s="131">
        <v>10792.5</v>
      </c>
      <c r="D70" s="131">
        <v>11623.9</v>
      </c>
      <c r="E70" s="53">
        <v>11928.75</v>
      </c>
      <c r="F70" s="53">
        <v>11623.9</v>
      </c>
      <c r="G70" s="53">
        <v>11760.04</v>
      </c>
      <c r="H70" s="53">
        <v>10004.549999999999</v>
      </c>
      <c r="I70" s="53">
        <v>8597.75</v>
      </c>
      <c r="J70" s="53">
        <v>12430.5</v>
      </c>
      <c r="K70" s="53">
        <v>7511.1</v>
      </c>
      <c r="L70" s="53">
        <v>14690.7</v>
      </c>
      <c r="M70" s="53">
        <v>15431.75</v>
      </c>
      <c r="N70" s="53">
        <v>8055.8</v>
      </c>
    </row>
    <row r="71" spans="1:15" ht="13.5" x14ac:dyDescent="0.25">
      <c r="A71" s="4"/>
      <c r="B71" s="383" t="s">
        <v>156</v>
      </c>
      <c r="C71" s="434"/>
      <c r="D71" s="434"/>
      <c r="E71" s="383"/>
      <c r="F71" s="383"/>
      <c r="G71" s="383"/>
      <c r="H71" s="383"/>
      <c r="I71" s="383"/>
      <c r="J71" s="383"/>
      <c r="K71" s="383"/>
      <c r="L71" s="383"/>
      <c r="M71" s="383"/>
      <c r="N71" s="383"/>
    </row>
    <row r="72" spans="1:15" x14ac:dyDescent="0.25">
      <c r="A72" s="4"/>
      <c r="B72" s="382" t="s">
        <v>79</v>
      </c>
      <c r="C72" s="382"/>
      <c r="D72" s="382"/>
      <c r="E72" s="382"/>
      <c r="F72" s="382"/>
      <c r="G72" s="382"/>
      <c r="H72" s="382"/>
      <c r="I72" s="382"/>
      <c r="J72" s="382"/>
      <c r="K72" s="382"/>
      <c r="L72" s="382"/>
      <c r="M72" s="382"/>
      <c r="N72" s="382"/>
    </row>
    <row r="73" spans="1:15" s="57" customFormat="1" x14ac:dyDescent="0.25">
      <c r="B73" s="382" t="s">
        <v>80</v>
      </c>
      <c r="C73" s="382"/>
      <c r="D73" s="382"/>
      <c r="E73" s="382"/>
      <c r="F73" s="382"/>
      <c r="G73" s="382"/>
      <c r="H73" s="382"/>
      <c r="I73" s="382"/>
      <c r="J73" s="382"/>
      <c r="K73" s="382"/>
      <c r="L73" s="382"/>
      <c r="M73" s="382"/>
      <c r="N73" s="382"/>
    </row>
    <row r="74" spans="1:15" x14ac:dyDescent="0.25">
      <c r="A74" s="4"/>
      <c r="B74" s="382" t="s">
        <v>420</v>
      </c>
      <c r="C74" s="382"/>
      <c r="D74" s="382"/>
      <c r="E74" s="382"/>
      <c r="F74" s="382"/>
      <c r="G74" s="382"/>
      <c r="H74" s="382"/>
      <c r="I74" s="382"/>
      <c r="J74" s="382"/>
      <c r="K74" s="382"/>
      <c r="L74" s="382"/>
      <c r="M74" s="382"/>
      <c r="N74" s="382"/>
      <c r="O74" s="73" t="s">
        <v>750</v>
      </c>
    </row>
    <row r="75" spans="1:15" x14ac:dyDescent="0.25">
      <c r="A75" s="4"/>
      <c r="B75" s="382" t="s">
        <v>82</v>
      </c>
      <c r="C75" s="382"/>
      <c r="D75" s="382"/>
      <c r="E75" s="382"/>
      <c r="F75" s="382"/>
      <c r="G75" s="382"/>
      <c r="H75" s="382"/>
      <c r="I75" s="382"/>
      <c r="J75" s="382"/>
      <c r="K75" s="382"/>
      <c r="L75" s="382"/>
      <c r="M75" s="382"/>
      <c r="N75" s="382"/>
    </row>
    <row r="76" spans="1:15" x14ac:dyDescent="0.25">
      <c r="A76" s="4"/>
      <c r="B76" s="58"/>
      <c r="C76" s="58"/>
      <c r="D76" s="58"/>
      <c r="E76" s="58"/>
      <c r="F76" s="58"/>
      <c r="G76" s="17"/>
      <c r="H76" s="17"/>
      <c r="I76" s="17"/>
      <c r="J76" s="17"/>
      <c r="K76" s="17"/>
      <c r="L76" s="17"/>
      <c r="M76" s="17"/>
      <c r="N76" s="17"/>
    </row>
    <row r="77" spans="1:15" x14ac:dyDescent="0.25">
      <c r="A77" s="13">
        <v>13</v>
      </c>
      <c r="B77" s="338" t="s">
        <v>83</v>
      </c>
      <c r="C77" s="339"/>
      <c r="D77" s="339"/>
      <c r="E77" s="339"/>
      <c r="F77" s="339"/>
      <c r="G77" s="340"/>
      <c r="H77" s="15"/>
      <c r="I77" s="15"/>
      <c r="J77" s="15"/>
      <c r="K77" s="15"/>
      <c r="L77" s="15"/>
      <c r="M77" s="15"/>
      <c r="N77" s="15"/>
    </row>
    <row r="78" spans="1:15" x14ac:dyDescent="0.25">
      <c r="A78" s="13"/>
      <c r="B78" s="26"/>
      <c r="C78" s="19"/>
      <c r="D78" s="19"/>
      <c r="E78" s="19"/>
      <c r="F78" s="19"/>
      <c r="G78" s="19"/>
      <c r="H78" s="19"/>
      <c r="I78" s="19"/>
      <c r="J78" s="19"/>
      <c r="K78" s="19"/>
      <c r="L78" s="19"/>
      <c r="M78" s="19"/>
      <c r="N78" s="19"/>
    </row>
    <row r="79" spans="1:15" ht="102" x14ac:dyDescent="0.25">
      <c r="A79" s="4"/>
      <c r="B79" s="224" t="s">
        <v>84</v>
      </c>
      <c r="C79" s="226" t="s">
        <v>85</v>
      </c>
      <c r="D79" s="226" t="s">
        <v>86</v>
      </c>
      <c r="E79" s="226" t="s">
        <v>280</v>
      </c>
      <c r="F79" s="226" t="s">
        <v>88</v>
      </c>
      <c r="G79" s="226" t="s">
        <v>169</v>
      </c>
      <c r="H79" s="17"/>
      <c r="I79" s="17"/>
      <c r="J79" s="17"/>
      <c r="K79" s="17"/>
      <c r="L79" s="17"/>
      <c r="M79" s="17"/>
      <c r="N79" s="17"/>
    </row>
    <row r="80" spans="1:15" ht="12.75" customHeight="1" x14ac:dyDescent="0.2">
      <c r="A80" s="4"/>
      <c r="B80" s="316" t="s">
        <v>90</v>
      </c>
      <c r="C80" s="5" t="s">
        <v>788</v>
      </c>
      <c r="D80" s="91">
        <v>4.8099999999999996</v>
      </c>
      <c r="E80" s="61">
        <v>5.1100000000000003</v>
      </c>
      <c r="F80" s="61">
        <v>1.61</v>
      </c>
      <c r="G80" s="61">
        <v>3.52</v>
      </c>
      <c r="H80" s="62"/>
      <c r="I80" s="62"/>
      <c r="J80" s="62"/>
      <c r="K80" s="62"/>
      <c r="L80" s="62"/>
      <c r="M80" s="62"/>
      <c r="N80" s="62"/>
    </row>
    <row r="81" spans="1:14" x14ac:dyDescent="0.25">
      <c r="A81" s="4"/>
      <c r="B81" s="316"/>
      <c r="C81" s="5" t="s">
        <v>92</v>
      </c>
      <c r="D81" s="229"/>
      <c r="E81" s="61"/>
      <c r="F81" s="61"/>
      <c r="G81" s="61"/>
      <c r="H81" s="62"/>
      <c r="I81" s="62"/>
      <c r="J81" s="62"/>
      <c r="K81" s="62"/>
      <c r="L81" s="62"/>
      <c r="M81" s="62"/>
      <c r="N81" s="62"/>
    </row>
    <row r="82" spans="1:14" x14ac:dyDescent="0.25">
      <c r="A82" s="4"/>
      <c r="B82" s="316"/>
      <c r="C82" s="5" t="s">
        <v>93</v>
      </c>
      <c r="D82" s="92"/>
      <c r="E82" s="61"/>
      <c r="F82" s="61"/>
      <c r="G82" s="61"/>
      <c r="H82" s="62"/>
      <c r="I82" s="62"/>
      <c r="J82" s="62"/>
      <c r="K82" s="62"/>
      <c r="L82" s="62"/>
      <c r="M82" s="62"/>
      <c r="N82" s="62"/>
    </row>
    <row r="83" spans="1:14" x14ac:dyDescent="0.2">
      <c r="A83" s="4"/>
      <c r="B83" s="316" t="s">
        <v>94</v>
      </c>
      <c r="C83" s="5" t="s">
        <v>788</v>
      </c>
      <c r="D83" s="93">
        <v>5.54</v>
      </c>
      <c r="E83" s="64">
        <f>F69/E80</f>
        <v>4.227005870841487</v>
      </c>
      <c r="F83" s="64">
        <f>L69/F80</f>
        <v>10.372670807453416</v>
      </c>
      <c r="G83" s="64">
        <f>L69/G80</f>
        <v>4.7443181818181817</v>
      </c>
      <c r="H83" s="62"/>
      <c r="I83" s="62"/>
      <c r="J83" s="62"/>
      <c r="K83" s="62"/>
      <c r="L83" s="62"/>
      <c r="M83" s="62"/>
      <c r="N83" s="62"/>
    </row>
    <row r="84" spans="1:14" x14ac:dyDescent="0.25">
      <c r="A84" s="4"/>
      <c r="B84" s="316"/>
      <c r="C84" s="5" t="s">
        <v>92</v>
      </c>
      <c r="D84" s="229"/>
      <c r="E84" s="64"/>
      <c r="F84" s="61"/>
      <c r="G84" s="61"/>
      <c r="H84" s="62"/>
      <c r="I84" s="62"/>
      <c r="J84" s="62"/>
      <c r="K84" s="62"/>
      <c r="L84" s="62"/>
      <c r="M84" s="62"/>
      <c r="N84" s="62"/>
    </row>
    <row r="85" spans="1:14" x14ac:dyDescent="0.25">
      <c r="A85" s="4"/>
      <c r="B85" s="316"/>
      <c r="C85" s="5" t="s">
        <v>93</v>
      </c>
      <c r="D85" s="92"/>
      <c r="E85" s="64"/>
      <c r="F85" s="61"/>
      <c r="G85" s="61"/>
      <c r="H85" s="62"/>
      <c r="I85" s="62"/>
      <c r="J85" s="62"/>
      <c r="K85" s="62"/>
      <c r="L85" s="62"/>
      <c r="M85" s="62"/>
      <c r="N85" s="62"/>
    </row>
    <row r="86" spans="1:14" x14ac:dyDescent="0.2">
      <c r="A86" s="4"/>
      <c r="B86" s="316" t="s">
        <v>95</v>
      </c>
      <c r="C86" s="5" t="s">
        <v>788</v>
      </c>
      <c r="D86" s="91">
        <v>12.28</v>
      </c>
      <c r="E86" s="64">
        <f>16050011/146820371*100</f>
        <v>10.931733035874156</v>
      </c>
      <c r="F86" s="61">
        <v>4.25</v>
      </c>
      <c r="G86" s="61">
        <v>8.51</v>
      </c>
      <c r="H86" s="62"/>
      <c r="I86" s="62"/>
      <c r="J86" s="62"/>
      <c r="K86" s="62"/>
      <c r="L86" s="62"/>
      <c r="M86" s="62"/>
      <c r="N86" s="62"/>
    </row>
    <row r="87" spans="1:14" x14ac:dyDescent="0.25">
      <c r="A87" s="4"/>
      <c r="B87" s="316"/>
      <c r="C87" s="5" t="s">
        <v>92</v>
      </c>
      <c r="D87" s="229"/>
      <c r="E87" s="64"/>
      <c r="F87" s="61"/>
      <c r="G87" s="61"/>
      <c r="H87" s="62"/>
      <c r="I87" s="62"/>
      <c r="J87" s="62"/>
      <c r="K87" s="62"/>
      <c r="L87" s="62"/>
      <c r="M87" s="62"/>
      <c r="N87" s="62"/>
    </row>
    <row r="88" spans="1:14" x14ac:dyDescent="0.25">
      <c r="A88" s="4"/>
      <c r="B88" s="316"/>
      <c r="C88" s="5" t="s">
        <v>93</v>
      </c>
      <c r="D88" s="92"/>
      <c r="E88" s="64"/>
      <c r="F88" s="61"/>
      <c r="G88" s="61"/>
      <c r="H88" s="62"/>
      <c r="I88" s="62"/>
      <c r="J88" s="62"/>
      <c r="K88" s="66"/>
      <c r="L88" s="62"/>
      <c r="M88" s="62"/>
      <c r="N88" s="62"/>
    </row>
    <row r="89" spans="1:14" x14ac:dyDescent="0.2">
      <c r="A89" s="4"/>
      <c r="B89" s="316" t="s">
        <v>96</v>
      </c>
      <c r="C89" s="5" t="s">
        <v>788</v>
      </c>
      <c r="D89" s="91">
        <v>39.18</v>
      </c>
      <c r="E89" s="64">
        <f>146820371/4237500</f>
        <v>34.647875162241888</v>
      </c>
      <c r="F89" s="61">
        <v>37.85</v>
      </c>
      <c r="G89" s="61">
        <v>41.37</v>
      </c>
      <c r="H89" s="62"/>
      <c r="I89" s="62"/>
      <c r="J89" s="62"/>
      <c r="K89" s="62"/>
      <c r="L89" s="62"/>
      <c r="M89" s="62"/>
      <c r="N89" s="62"/>
    </row>
    <row r="90" spans="1:14" x14ac:dyDescent="0.25">
      <c r="A90" s="4"/>
      <c r="B90" s="316"/>
      <c r="C90" s="5" t="s">
        <v>92</v>
      </c>
      <c r="D90" s="229"/>
      <c r="E90" s="61"/>
      <c r="F90" s="61"/>
      <c r="G90" s="61"/>
      <c r="H90" s="62"/>
      <c r="I90" s="62"/>
      <c r="J90" s="62"/>
      <c r="K90" s="62"/>
      <c r="L90" s="62"/>
      <c r="M90" s="62"/>
      <c r="N90" s="62"/>
    </row>
    <row r="91" spans="1:14" x14ac:dyDescent="0.25">
      <c r="A91" s="4"/>
      <c r="B91" s="386"/>
      <c r="C91" s="5" t="s">
        <v>93</v>
      </c>
      <c r="D91" s="92"/>
      <c r="E91" s="61"/>
      <c r="F91" s="272"/>
      <c r="G91" s="272"/>
      <c r="H91" s="62"/>
      <c r="I91" s="62"/>
      <c r="J91" s="62"/>
      <c r="K91" s="62"/>
      <c r="L91" s="62"/>
      <c r="M91" s="62"/>
      <c r="N91" s="62"/>
    </row>
    <row r="92" spans="1:14" s="57" customFormat="1" x14ac:dyDescent="0.25">
      <c r="B92" s="387"/>
      <c r="C92" s="388"/>
      <c r="D92" s="388"/>
      <c r="E92" s="388"/>
      <c r="F92" s="388"/>
      <c r="G92" s="389"/>
    </row>
    <row r="93" spans="1:14" x14ac:dyDescent="0.25">
      <c r="A93" s="4"/>
      <c r="B93" s="376" t="s">
        <v>787</v>
      </c>
      <c r="C93" s="377"/>
      <c r="D93" s="377"/>
      <c r="E93" s="377"/>
      <c r="F93" s="377"/>
      <c r="G93" s="378"/>
      <c r="H93" s="62"/>
      <c r="I93" s="62"/>
      <c r="J93" s="62"/>
      <c r="K93" s="62"/>
      <c r="L93" s="62"/>
      <c r="M93" s="62"/>
      <c r="N93" s="62"/>
    </row>
    <row r="94" spans="1:14" x14ac:dyDescent="0.25">
      <c r="A94" s="4"/>
      <c r="B94" s="379" t="s">
        <v>128</v>
      </c>
      <c r="C94" s="380"/>
      <c r="D94" s="380"/>
      <c r="E94" s="380"/>
      <c r="F94" s="380"/>
      <c r="G94" s="381"/>
      <c r="H94" s="62"/>
      <c r="I94" s="62"/>
      <c r="J94" s="62"/>
      <c r="K94" s="62"/>
      <c r="L94" s="62"/>
      <c r="M94" s="62"/>
      <c r="N94" s="62"/>
    </row>
    <row r="95" spans="1:14" x14ac:dyDescent="0.25">
      <c r="A95" s="4"/>
      <c r="B95" s="353"/>
      <c r="C95" s="354"/>
      <c r="D95" s="354"/>
      <c r="E95" s="354"/>
      <c r="F95" s="354"/>
      <c r="G95" s="355"/>
      <c r="H95" s="62"/>
      <c r="I95" s="62"/>
      <c r="J95" s="62"/>
      <c r="K95" s="62"/>
      <c r="L95" s="62"/>
      <c r="M95" s="62"/>
      <c r="N95" s="62"/>
    </row>
    <row r="96" spans="1:14" x14ac:dyDescent="0.25">
      <c r="A96" s="26"/>
      <c r="B96" s="12"/>
      <c r="C96" s="323"/>
      <c r="D96" s="323"/>
      <c r="E96" s="323"/>
      <c r="F96" s="323"/>
      <c r="G96" s="323"/>
      <c r="H96" s="62"/>
      <c r="I96" s="62"/>
      <c r="J96" s="26"/>
      <c r="K96" s="26"/>
      <c r="L96" s="26"/>
      <c r="M96" s="26"/>
      <c r="N96" s="26"/>
    </row>
    <row r="97" spans="1:14" x14ac:dyDescent="0.25">
      <c r="A97" s="13">
        <v>14</v>
      </c>
      <c r="B97" s="70" t="s">
        <v>99</v>
      </c>
      <c r="C97" s="324" t="s">
        <v>48</v>
      </c>
      <c r="D97" s="325"/>
      <c r="E97" s="325"/>
      <c r="F97" s="325"/>
      <c r="G97" s="326"/>
      <c r="H97" s="26"/>
      <c r="I97" s="26"/>
      <c r="J97" s="26"/>
      <c r="K97" s="26"/>
      <c r="L97" s="26"/>
      <c r="M97" s="26"/>
      <c r="N97" s="26"/>
    </row>
    <row r="98" spans="1:14" x14ac:dyDescent="0.25">
      <c r="A98" s="147"/>
      <c r="B98" s="26"/>
      <c r="C98" s="84"/>
      <c r="D98" s="84"/>
      <c r="E98" s="84"/>
      <c r="F98" s="84"/>
      <c r="G98" s="84"/>
      <c r="H98" s="26"/>
      <c r="I98" s="26"/>
      <c r="J98" s="26"/>
      <c r="K98" s="26"/>
      <c r="L98" s="26"/>
      <c r="M98" s="26"/>
      <c r="N98" s="26"/>
    </row>
    <row r="99" spans="1:14" x14ac:dyDescent="0.25">
      <c r="A99" s="26"/>
      <c r="B99" s="26"/>
      <c r="C99" s="84"/>
      <c r="D99" s="84"/>
      <c r="E99" s="84"/>
      <c r="F99" s="84"/>
      <c r="G99" s="84"/>
      <c r="H99" s="26"/>
      <c r="I99" s="26"/>
      <c r="J99" s="26"/>
      <c r="K99" s="26"/>
      <c r="L99" s="26"/>
      <c r="M99" s="26"/>
      <c r="N99" s="26"/>
    </row>
    <row r="100" spans="1:14" x14ac:dyDescent="0.25">
      <c r="A100" s="26"/>
      <c r="B100" s="26"/>
      <c r="C100" s="26"/>
      <c r="D100" s="26"/>
      <c r="E100" s="26"/>
      <c r="F100" s="26"/>
      <c r="G100" s="26"/>
      <c r="H100" s="26"/>
      <c r="I100" s="26"/>
      <c r="J100" s="26"/>
      <c r="K100" s="26"/>
      <c r="L100" s="26"/>
      <c r="M100" s="26"/>
      <c r="N100" s="26"/>
    </row>
    <row r="101" spans="1:14" x14ac:dyDescent="0.25">
      <c r="A101" s="26"/>
      <c r="B101" s="374" t="s">
        <v>783</v>
      </c>
      <c r="C101" s="375"/>
      <c r="D101" s="375"/>
      <c r="E101" s="375"/>
      <c r="F101" s="375"/>
      <c r="G101" s="375"/>
      <c r="H101" s="375"/>
      <c r="I101" s="26"/>
      <c r="J101" s="26"/>
      <c r="K101" s="26"/>
      <c r="L101" s="26"/>
      <c r="M101" s="26"/>
      <c r="N101" s="26"/>
    </row>
    <row r="102" spans="1:14" x14ac:dyDescent="0.25">
      <c r="B102" s="26"/>
      <c r="C102" s="26"/>
      <c r="D102" s="26"/>
      <c r="E102" s="26"/>
      <c r="F102" s="26"/>
      <c r="G102" s="26"/>
      <c r="H102" s="26"/>
      <c r="I102" s="26"/>
      <c r="J102" s="26"/>
      <c r="K102" s="26"/>
      <c r="L102" s="26"/>
      <c r="M102" s="26"/>
      <c r="N102" s="26"/>
    </row>
    <row r="103" spans="1:14" x14ac:dyDescent="0.25">
      <c r="B103" s="26"/>
      <c r="C103" s="26"/>
      <c r="D103" s="26"/>
      <c r="E103" s="26"/>
      <c r="F103" s="26"/>
      <c r="G103" s="26"/>
      <c r="H103" s="26"/>
      <c r="I103" s="26"/>
      <c r="J103" s="26"/>
      <c r="K103" s="26"/>
      <c r="L103" s="26"/>
      <c r="M103" s="26"/>
      <c r="N103" s="26"/>
    </row>
    <row r="104" spans="1:14" x14ac:dyDescent="0.25">
      <c r="B104" s="26"/>
      <c r="C104" s="26"/>
      <c r="D104" s="26"/>
      <c r="E104" s="26"/>
      <c r="F104" s="26"/>
      <c r="G104" s="26"/>
      <c r="H104" s="26"/>
      <c r="I104" s="26"/>
      <c r="J104" s="26"/>
      <c r="K104" s="26"/>
      <c r="L104" s="26"/>
      <c r="M104" s="26"/>
      <c r="N104" s="26"/>
    </row>
    <row r="105" spans="1:14" x14ac:dyDescent="0.25">
      <c r="B105" s="26"/>
      <c r="C105" s="26"/>
      <c r="D105" s="26"/>
      <c r="E105" s="26"/>
      <c r="F105" s="26"/>
      <c r="G105" s="26"/>
      <c r="H105" s="26"/>
      <c r="I105" s="26"/>
      <c r="J105" s="26"/>
      <c r="K105" s="26"/>
      <c r="L105" s="26"/>
      <c r="M105" s="26"/>
      <c r="N105" s="26"/>
    </row>
    <row r="106" spans="1:14" x14ac:dyDescent="0.25">
      <c r="B106" s="26"/>
      <c r="C106" s="26"/>
      <c r="D106" s="242"/>
      <c r="E106" s="242"/>
      <c r="F106" s="26"/>
      <c r="G106" s="26"/>
      <c r="H106" s="26"/>
      <c r="I106" s="26"/>
      <c r="J106" s="26"/>
      <c r="K106" s="26"/>
      <c r="L106" s="26"/>
      <c r="M106" s="26"/>
      <c r="N106" s="26"/>
    </row>
    <row r="107" spans="1:14" x14ac:dyDescent="0.25">
      <c r="B107" s="26"/>
      <c r="C107" s="26"/>
      <c r="D107" s="26"/>
      <c r="E107" s="242"/>
      <c r="F107" s="26"/>
      <c r="G107" s="26"/>
      <c r="H107" s="26"/>
      <c r="I107" s="26"/>
      <c r="J107" s="26"/>
      <c r="K107" s="26"/>
      <c r="L107" s="26"/>
      <c r="M107" s="26"/>
      <c r="N107" s="26"/>
    </row>
    <row r="108" spans="1:14" x14ac:dyDescent="0.25">
      <c r="B108" s="26"/>
      <c r="C108" s="26"/>
      <c r="D108" s="26"/>
      <c r="E108" s="26"/>
      <c r="F108" s="26"/>
      <c r="G108" s="26"/>
      <c r="H108" s="26"/>
      <c r="I108" s="26"/>
      <c r="J108" s="26"/>
      <c r="K108" s="26"/>
      <c r="L108" s="26"/>
      <c r="M108" s="26"/>
      <c r="N108" s="26"/>
    </row>
    <row r="109" spans="1:14" x14ac:dyDescent="0.25">
      <c r="B109" s="26"/>
      <c r="C109" s="26"/>
      <c r="D109" s="26"/>
      <c r="E109" s="26"/>
      <c r="F109" s="26"/>
      <c r="G109" s="26"/>
      <c r="H109" s="26"/>
      <c r="I109" s="26"/>
      <c r="J109" s="26"/>
      <c r="K109" s="26"/>
      <c r="L109" s="26"/>
      <c r="M109" s="26"/>
      <c r="N109" s="26"/>
    </row>
  </sheetData>
  <sheetProtection password="DB00" sheet="1" objects="1" scenarios="1"/>
  <mergeCells count="58">
    <mergeCell ref="C20:E20"/>
    <mergeCell ref="B12:D12"/>
    <mergeCell ref="B15:C15"/>
    <mergeCell ref="B17:E17"/>
    <mergeCell ref="C18:E18"/>
    <mergeCell ref="C19:E19"/>
    <mergeCell ref="A1:B1"/>
    <mergeCell ref="C5:E5"/>
    <mergeCell ref="B6:D6"/>
    <mergeCell ref="B9:D9"/>
    <mergeCell ref="C11:E11"/>
    <mergeCell ref="C22:E22"/>
    <mergeCell ref="B23:E23"/>
    <mergeCell ref="B26:E26"/>
    <mergeCell ref="B27:E27"/>
    <mergeCell ref="C21:E2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B86:B88"/>
    <mergeCell ref="B89:B91"/>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4:N74"/>
    <mergeCell ref="B75:N75"/>
    <mergeCell ref="B77:G77"/>
    <mergeCell ref="B80:B82"/>
    <mergeCell ref="B83:B85"/>
    <mergeCell ref="B101:H101"/>
    <mergeCell ref="B92:G92"/>
    <mergeCell ref="B93:G93"/>
    <mergeCell ref="B94:G94"/>
    <mergeCell ref="B95:G95"/>
    <mergeCell ref="C96:G96"/>
    <mergeCell ref="C97:G97"/>
  </mergeCell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workbookViewId="0">
      <selection activeCell="C18" sqref="C18:E18"/>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6" width="11.28515625" style="73" customWidth="1"/>
    <col min="7" max="7" width="12.7109375" style="73" customWidth="1"/>
    <col min="8"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231" t="s">
        <v>757</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759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758</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231"/>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228" t="s">
        <v>15</v>
      </c>
      <c r="C18" s="373" t="s">
        <v>16</v>
      </c>
      <c r="D18" s="373"/>
      <c r="E18" s="373"/>
      <c r="F18" s="19"/>
      <c r="G18" s="17"/>
      <c r="H18" s="17"/>
      <c r="I18" s="17"/>
      <c r="J18" s="17"/>
      <c r="K18" s="17"/>
      <c r="L18" s="17"/>
      <c r="M18" s="17"/>
      <c r="N18" s="17"/>
    </row>
    <row r="19" spans="1:14" ht="25.5" x14ac:dyDescent="0.25">
      <c r="A19" s="13"/>
      <c r="B19" s="228" t="s">
        <v>765</v>
      </c>
      <c r="C19" s="363" t="s">
        <v>16</v>
      </c>
      <c r="D19" s="363"/>
      <c r="E19" s="363"/>
      <c r="F19" s="19"/>
      <c r="G19" s="17"/>
      <c r="I19" s="17"/>
      <c r="J19" s="17"/>
      <c r="K19" s="17"/>
      <c r="L19" s="17"/>
      <c r="M19" s="17"/>
      <c r="N19" s="17"/>
    </row>
    <row r="20" spans="1:14" x14ac:dyDescent="0.25">
      <c r="A20" s="13"/>
      <c r="B20" s="228" t="s">
        <v>664</v>
      </c>
      <c r="C20" s="363" t="s">
        <v>16</v>
      </c>
      <c r="D20" s="363"/>
      <c r="E20" s="363"/>
      <c r="F20" s="19"/>
      <c r="G20" s="17"/>
      <c r="H20" s="17"/>
      <c r="I20" s="17"/>
      <c r="J20" s="17"/>
      <c r="K20" s="17"/>
      <c r="L20" s="17"/>
      <c r="M20" s="17"/>
      <c r="N20" s="17"/>
    </row>
    <row r="21" spans="1:14" x14ac:dyDescent="0.25">
      <c r="A21" s="13"/>
      <c r="B21" s="228" t="s">
        <v>19</v>
      </c>
      <c r="C21" s="363" t="s">
        <v>16</v>
      </c>
      <c r="D21" s="363"/>
      <c r="E21" s="363"/>
      <c r="F21" s="19"/>
      <c r="G21" s="17"/>
      <c r="H21" s="17"/>
      <c r="I21" s="17"/>
      <c r="J21" s="17"/>
      <c r="K21" s="17"/>
      <c r="L21" s="17"/>
      <c r="M21" s="17"/>
      <c r="N21" s="17"/>
    </row>
    <row r="22" spans="1:14" x14ac:dyDescent="0.25">
      <c r="A22" s="13"/>
      <c r="B22" s="20" t="s">
        <v>20</v>
      </c>
      <c r="C22" s="435" t="s">
        <v>263</v>
      </c>
      <c r="D22" s="436"/>
      <c r="E22" s="437"/>
      <c r="F22" s="19"/>
      <c r="G22" s="17"/>
      <c r="H22" s="17"/>
      <c r="I22" s="17"/>
      <c r="J22" s="17"/>
      <c r="K22" s="17"/>
      <c r="L22" s="17"/>
      <c r="M22" s="17"/>
      <c r="N22" s="17"/>
    </row>
    <row r="23" spans="1:14" x14ac:dyDescent="0.25">
      <c r="A23" s="13"/>
      <c r="B23" s="353" t="s">
        <v>606</v>
      </c>
      <c r="C23" s="354"/>
      <c r="D23" s="354"/>
      <c r="E23" s="355"/>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27" t="s">
        <v>24</v>
      </c>
      <c r="C28" s="226" t="s">
        <v>264</v>
      </c>
      <c r="D28" s="226" t="s">
        <v>26</v>
      </c>
      <c r="E28" s="226" t="s">
        <v>27</v>
      </c>
      <c r="F28" s="19"/>
      <c r="G28" s="26"/>
      <c r="H28" s="26"/>
      <c r="I28" s="26"/>
      <c r="J28" s="26"/>
      <c r="K28" s="26"/>
      <c r="L28" s="26"/>
      <c r="M28" s="26"/>
      <c r="N28" s="26"/>
    </row>
    <row r="29" spans="1:14" ht="12.75" customHeight="1" x14ac:dyDescent="0.25">
      <c r="A29" s="13"/>
      <c r="B29" s="230" t="s">
        <v>28</v>
      </c>
      <c r="C29" s="230">
        <v>910.28</v>
      </c>
      <c r="D29" s="254">
        <v>988.39</v>
      </c>
      <c r="E29" s="420" t="s">
        <v>265</v>
      </c>
      <c r="F29" s="19"/>
      <c r="G29" s="26"/>
      <c r="H29" s="26"/>
      <c r="I29" s="26"/>
      <c r="J29" s="26"/>
      <c r="K29" s="26"/>
      <c r="L29" s="26"/>
      <c r="M29" s="26"/>
      <c r="N29" s="26"/>
    </row>
    <row r="30" spans="1:14" x14ac:dyDescent="0.25">
      <c r="A30" s="13"/>
      <c r="B30" s="230" t="s">
        <v>29</v>
      </c>
      <c r="C30" s="230">
        <v>250.88</v>
      </c>
      <c r="D30" s="254">
        <v>175.3</v>
      </c>
      <c r="E30" s="421"/>
      <c r="F30" s="19"/>
      <c r="G30" s="26"/>
      <c r="H30" s="26"/>
      <c r="I30" s="26"/>
      <c r="J30" s="26"/>
      <c r="K30" s="26"/>
      <c r="L30" s="26"/>
      <c r="M30" s="26"/>
      <c r="N30" s="26"/>
    </row>
    <row r="31" spans="1:14" x14ac:dyDescent="0.25">
      <c r="A31" s="13"/>
      <c r="B31" s="230" t="s">
        <v>30</v>
      </c>
      <c r="C31" s="230">
        <v>137.19999999999999</v>
      </c>
      <c r="D31" s="254">
        <v>137.19999999999999</v>
      </c>
      <c r="E31" s="421"/>
      <c r="F31" s="19"/>
      <c r="G31" s="26"/>
      <c r="H31" s="26"/>
      <c r="I31" s="26"/>
      <c r="J31" s="26"/>
      <c r="K31" s="26"/>
      <c r="L31" s="26"/>
      <c r="M31" s="26"/>
      <c r="N31" s="26"/>
    </row>
    <row r="32" spans="1:14" x14ac:dyDescent="0.25">
      <c r="A32" s="13"/>
      <c r="B32" s="230" t="s">
        <v>31</v>
      </c>
      <c r="C32" s="230">
        <v>707.71</v>
      </c>
      <c r="D32" s="254">
        <v>855.57</v>
      </c>
      <c r="E32" s="422"/>
      <c r="F32" s="19"/>
      <c r="G32" s="26"/>
      <c r="H32" s="26"/>
      <c r="I32" s="26"/>
      <c r="J32" s="26"/>
      <c r="K32" s="26"/>
      <c r="L32" s="26"/>
      <c r="M32" s="26"/>
      <c r="N32" s="26"/>
    </row>
    <row r="33" spans="1:14" x14ac:dyDescent="0.25">
      <c r="A33" s="13"/>
      <c r="B33" s="353" t="s">
        <v>769</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27" t="s">
        <v>34</v>
      </c>
      <c r="C36" s="232" t="s">
        <v>35</v>
      </c>
      <c r="D36" s="17"/>
      <c r="E36" s="17"/>
      <c r="F36" s="17"/>
      <c r="G36" s="26"/>
      <c r="H36" s="26"/>
      <c r="I36" s="26"/>
      <c r="J36" s="26"/>
      <c r="K36" s="26"/>
      <c r="L36" s="26"/>
      <c r="M36" s="26"/>
      <c r="N36" s="26"/>
    </row>
    <row r="37" spans="1:14" x14ac:dyDescent="0.25">
      <c r="A37" s="13"/>
      <c r="B37" s="227" t="s">
        <v>36</v>
      </c>
      <c r="C37" s="251" t="s">
        <v>35</v>
      </c>
      <c r="D37" s="17"/>
      <c r="E37" s="17"/>
      <c r="F37" s="17"/>
      <c r="G37" s="26"/>
      <c r="H37" s="26"/>
      <c r="I37" s="26"/>
      <c r="J37" s="26"/>
      <c r="K37" s="26"/>
      <c r="L37" s="26"/>
      <c r="M37" s="26"/>
      <c r="N37" s="26"/>
    </row>
    <row r="38" spans="1:14" x14ac:dyDescent="0.25">
      <c r="A38" s="13"/>
      <c r="B38" s="233" t="s">
        <v>37</v>
      </c>
      <c r="C38" s="236" t="s">
        <v>263</v>
      </c>
      <c r="D38" s="17"/>
      <c r="E38" s="17"/>
      <c r="F38" s="17"/>
      <c r="G38" s="26"/>
      <c r="H38" s="26"/>
      <c r="I38" s="26"/>
      <c r="J38" s="26"/>
      <c r="K38" s="26"/>
      <c r="L38" s="26"/>
      <c r="M38" s="26"/>
      <c r="N38" s="26"/>
    </row>
    <row r="39" spans="1:14" x14ac:dyDescent="0.25">
      <c r="A39" s="13"/>
      <c r="B39" s="382" t="s">
        <v>606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27" t="s">
        <v>39</v>
      </c>
      <c r="C43" s="350" t="s">
        <v>792</v>
      </c>
      <c r="D43" s="351"/>
      <c r="E43" s="352"/>
      <c r="F43" s="17"/>
      <c r="G43" s="26"/>
      <c r="H43" s="26"/>
      <c r="I43" s="26"/>
      <c r="J43" s="26"/>
      <c r="K43" s="26"/>
      <c r="L43" s="26"/>
      <c r="M43" s="26"/>
      <c r="N43" s="26"/>
    </row>
    <row r="44" spans="1:14" x14ac:dyDescent="0.25">
      <c r="A44" s="13"/>
      <c r="B44" s="227" t="s">
        <v>36</v>
      </c>
      <c r="C44" s="350" t="s">
        <v>792</v>
      </c>
      <c r="D44" s="351"/>
      <c r="E44" s="352"/>
      <c r="F44" s="17"/>
      <c r="G44" s="26"/>
      <c r="H44" s="26"/>
      <c r="I44" s="26"/>
      <c r="J44" s="26"/>
      <c r="K44" s="26"/>
      <c r="L44" s="26"/>
      <c r="M44" s="26"/>
      <c r="N44" s="26"/>
    </row>
    <row r="45" spans="1:14" x14ac:dyDescent="0.25">
      <c r="A45" s="13"/>
      <c r="B45" s="227" t="s">
        <v>37</v>
      </c>
      <c r="C45" s="367" t="s">
        <v>263</v>
      </c>
      <c r="D45" s="367"/>
      <c r="E45" s="367"/>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225" t="s">
        <v>42</v>
      </c>
      <c r="C49" s="32" t="s">
        <v>43</v>
      </c>
      <c r="D49" s="33" t="s">
        <v>44</v>
      </c>
      <c r="E49" s="32" t="s">
        <v>268</v>
      </c>
      <c r="F49" s="26"/>
      <c r="G49" s="26"/>
      <c r="H49" s="26"/>
      <c r="I49" s="26"/>
      <c r="J49" s="26"/>
      <c r="K49" s="26"/>
      <c r="L49" s="26"/>
      <c r="M49" s="26"/>
    </row>
    <row r="50" spans="1:14" ht="51" x14ac:dyDescent="0.25">
      <c r="A50" s="34"/>
      <c r="B50" s="94" t="s">
        <v>369</v>
      </c>
      <c r="C50" s="94" t="s">
        <v>760</v>
      </c>
      <c r="D50" s="33" t="s">
        <v>248</v>
      </c>
      <c r="E50" s="32" t="s">
        <v>248</v>
      </c>
      <c r="F50" s="26"/>
      <c r="G50" s="26"/>
      <c r="H50" s="26"/>
      <c r="I50" s="26"/>
      <c r="J50" s="26"/>
      <c r="K50" s="26"/>
      <c r="L50" s="26"/>
      <c r="M50" s="26"/>
    </row>
    <row r="51" spans="1:14" x14ac:dyDescent="0.25">
      <c r="A51" s="36"/>
      <c r="B51" s="345" t="s">
        <v>774</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357" t="s">
        <v>50</v>
      </c>
      <c r="C54" s="394" t="s">
        <v>761</v>
      </c>
      <c r="D54" s="395"/>
      <c r="E54" s="396"/>
      <c r="F54" s="26"/>
      <c r="G54" s="26"/>
      <c r="H54" s="26"/>
      <c r="I54" s="26"/>
      <c r="J54" s="26"/>
      <c r="K54" s="2"/>
      <c r="L54" s="26"/>
      <c r="M54" s="26"/>
    </row>
    <row r="55" spans="1:14"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345" t="s">
        <v>775</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27" t="s">
        <v>62</v>
      </c>
      <c r="C65" s="230" t="s">
        <v>789</v>
      </c>
      <c r="D65" s="19"/>
      <c r="E65" s="150"/>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776</v>
      </c>
      <c r="D67" s="372" t="s">
        <v>333</v>
      </c>
      <c r="E67" s="336" t="s">
        <v>294</v>
      </c>
      <c r="F67" s="327" t="s">
        <v>933</v>
      </c>
      <c r="G67" s="328"/>
      <c r="H67" s="329"/>
      <c r="I67" s="330" t="s">
        <v>934</v>
      </c>
      <c r="J67" s="330"/>
      <c r="K67" s="330"/>
      <c r="L67" s="330" t="s">
        <v>70</v>
      </c>
      <c r="M67" s="330"/>
      <c r="N67" s="330"/>
    </row>
    <row r="68" spans="1:14" ht="38.25" x14ac:dyDescent="0.25">
      <c r="A68" s="4"/>
      <c r="B68" s="333"/>
      <c r="C68" s="335"/>
      <c r="D68" s="335"/>
      <c r="E68" s="337"/>
      <c r="F68" s="227" t="s">
        <v>71</v>
      </c>
      <c r="G68" s="227" t="s">
        <v>72</v>
      </c>
      <c r="H68" s="227" t="s">
        <v>73</v>
      </c>
      <c r="I68" s="227" t="s">
        <v>74</v>
      </c>
      <c r="J68" s="227" t="s">
        <v>72</v>
      </c>
      <c r="K68" s="227" t="s">
        <v>73</v>
      </c>
      <c r="L68" s="227" t="s">
        <v>74</v>
      </c>
      <c r="M68" s="227" t="s">
        <v>72</v>
      </c>
      <c r="N68" s="227" t="s">
        <v>73</v>
      </c>
    </row>
    <row r="69" spans="1:14" x14ac:dyDescent="0.25">
      <c r="A69" s="4"/>
      <c r="B69" s="227" t="s">
        <v>75</v>
      </c>
      <c r="C69" s="131">
        <v>60</v>
      </c>
      <c r="D69" s="53">
        <v>60</v>
      </c>
      <c r="E69" s="53">
        <v>138.25</v>
      </c>
      <c r="F69" s="53">
        <v>80</v>
      </c>
      <c r="G69" s="53">
        <v>180.25</v>
      </c>
      <c r="H69" s="53">
        <v>57.1</v>
      </c>
      <c r="I69" s="53">
        <v>120</v>
      </c>
      <c r="J69" s="53">
        <v>120</v>
      </c>
      <c r="K69" s="53">
        <v>120</v>
      </c>
      <c r="L69" s="53" t="s">
        <v>48</v>
      </c>
      <c r="M69" s="53" t="s">
        <v>48</v>
      </c>
      <c r="N69" s="53" t="s">
        <v>48</v>
      </c>
    </row>
    <row r="70" spans="1:14" ht="25.5" x14ac:dyDescent="0.25">
      <c r="A70" s="4"/>
      <c r="B70" s="227" t="s">
        <v>278</v>
      </c>
      <c r="C70" s="131">
        <v>39031.550000000003</v>
      </c>
      <c r="D70" s="53">
        <v>39749.730000000003</v>
      </c>
      <c r="E70" s="53" t="s">
        <v>48</v>
      </c>
      <c r="F70" s="53">
        <v>8597.75</v>
      </c>
      <c r="G70" s="53">
        <v>12430.5</v>
      </c>
      <c r="H70" s="53">
        <v>7511.1</v>
      </c>
      <c r="I70" s="53">
        <v>49509.15</v>
      </c>
      <c r="J70" s="53">
        <v>52516.76</v>
      </c>
      <c r="K70" s="53">
        <v>27500.79</v>
      </c>
      <c r="L70" s="53" t="s">
        <v>48</v>
      </c>
      <c r="M70" s="53" t="s">
        <v>48</v>
      </c>
      <c r="N70" s="53" t="s">
        <v>48</v>
      </c>
    </row>
    <row r="71" spans="1:14" ht="13.5" x14ac:dyDescent="0.25">
      <c r="A71" s="4"/>
      <c r="B71" s="383" t="s">
        <v>21</v>
      </c>
      <c r="C71" s="434"/>
      <c r="D71" s="434"/>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224" t="s">
        <v>84</v>
      </c>
      <c r="C79" s="226" t="s">
        <v>85</v>
      </c>
      <c r="D79" s="226" t="s">
        <v>86</v>
      </c>
      <c r="E79" s="226" t="s">
        <v>280</v>
      </c>
      <c r="F79" s="226" t="s">
        <v>88</v>
      </c>
      <c r="G79" s="226" t="s">
        <v>169</v>
      </c>
      <c r="H79" s="17"/>
      <c r="I79" s="17"/>
      <c r="J79" s="17"/>
      <c r="K79" s="17"/>
      <c r="L79" s="17"/>
      <c r="M79" s="17"/>
      <c r="N79" s="17"/>
    </row>
    <row r="80" spans="1:14" ht="12.75" customHeight="1" x14ac:dyDescent="0.2">
      <c r="A80" s="4"/>
      <c r="B80" s="316" t="s">
        <v>90</v>
      </c>
      <c r="C80" s="5" t="s">
        <v>777</v>
      </c>
      <c r="D80" s="91">
        <v>3.41</v>
      </c>
      <c r="E80" s="91">
        <v>12.69</v>
      </c>
      <c r="F80" s="61">
        <v>12.78</v>
      </c>
      <c r="G80" s="412" t="s">
        <v>282</v>
      </c>
      <c r="H80" s="62"/>
      <c r="I80" s="62"/>
      <c r="J80" s="62"/>
      <c r="K80" s="62"/>
      <c r="L80" s="62"/>
      <c r="M80" s="62"/>
      <c r="N80" s="62"/>
    </row>
    <row r="81" spans="1:14" x14ac:dyDescent="0.25">
      <c r="A81" s="4"/>
      <c r="B81" s="316"/>
      <c r="C81" s="5" t="s">
        <v>92</v>
      </c>
      <c r="D81" s="229"/>
      <c r="E81" s="229"/>
      <c r="F81" s="61"/>
      <c r="G81" s="413"/>
      <c r="H81" s="62"/>
      <c r="I81" s="62"/>
      <c r="J81" s="62"/>
      <c r="K81" s="62"/>
      <c r="L81" s="62"/>
      <c r="M81" s="62"/>
      <c r="N81" s="62"/>
    </row>
    <row r="82" spans="1:14" x14ac:dyDescent="0.25">
      <c r="A82" s="4"/>
      <c r="B82" s="316"/>
      <c r="C82" s="5" t="s">
        <v>93</v>
      </c>
      <c r="D82" s="92"/>
      <c r="E82" s="92"/>
      <c r="F82" s="61"/>
      <c r="G82" s="413"/>
      <c r="H82" s="62"/>
      <c r="I82" s="62"/>
      <c r="J82" s="62"/>
      <c r="K82" s="62"/>
      <c r="L82" s="62"/>
      <c r="M82" s="62"/>
      <c r="N82" s="62"/>
    </row>
    <row r="83" spans="1:14" x14ac:dyDescent="0.2">
      <c r="A83" s="4"/>
      <c r="B83" s="316" t="s">
        <v>94</v>
      </c>
      <c r="C83" s="5" t="s">
        <v>777</v>
      </c>
      <c r="D83" s="93">
        <v>6.25</v>
      </c>
      <c r="E83" s="93">
        <f>F69/E80</f>
        <v>6.3041765169424746</v>
      </c>
      <c r="F83" s="93">
        <f>I69/F80</f>
        <v>9.3896713615023479</v>
      </c>
      <c r="G83" s="413"/>
      <c r="H83" s="62"/>
      <c r="I83" s="62"/>
      <c r="J83" s="62"/>
      <c r="K83" s="62"/>
      <c r="L83" s="62"/>
      <c r="M83" s="62"/>
      <c r="N83" s="62"/>
    </row>
    <row r="84" spans="1:14" x14ac:dyDescent="0.25">
      <c r="A84" s="4"/>
      <c r="B84" s="316"/>
      <c r="C84" s="5" t="s">
        <v>92</v>
      </c>
      <c r="D84" s="229"/>
      <c r="E84" s="229"/>
      <c r="F84" s="61"/>
      <c r="G84" s="413"/>
      <c r="H84" s="62"/>
      <c r="I84" s="62"/>
      <c r="J84" s="62"/>
      <c r="K84" s="62"/>
      <c r="L84" s="62"/>
      <c r="M84" s="62"/>
      <c r="N84" s="62"/>
    </row>
    <row r="85" spans="1:14" x14ac:dyDescent="0.25">
      <c r="A85" s="4"/>
      <c r="B85" s="316"/>
      <c r="C85" s="5" t="s">
        <v>93</v>
      </c>
      <c r="D85" s="92"/>
      <c r="E85" s="92"/>
      <c r="F85" s="61"/>
      <c r="G85" s="413"/>
      <c r="H85" s="62"/>
      <c r="I85" s="62"/>
      <c r="J85" s="62"/>
      <c r="K85" s="62"/>
      <c r="L85" s="62"/>
      <c r="M85" s="62"/>
      <c r="N85" s="62"/>
    </row>
    <row r="86" spans="1:14" x14ac:dyDescent="0.2">
      <c r="A86" s="4"/>
      <c r="B86" s="316" t="s">
        <v>95</v>
      </c>
      <c r="C86" s="5" t="s">
        <v>777</v>
      </c>
      <c r="D86" s="91">
        <v>10.25</v>
      </c>
      <c r="E86" s="93">
        <f>174.1/844.91*100</f>
        <v>20.605744990590715</v>
      </c>
      <c r="F86" s="61">
        <v>17.66</v>
      </c>
      <c r="G86" s="413"/>
      <c r="H86" s="62"/>
      <c r="I86" s="62"/>
      <c r="J86" s="62"/>
      <c r="K86" s="62"/>
      <c r="L86" s="62"/>
      <c r="M86" s="62"/>
      <c r="N86" s="62"/>
    </row>
    <row r="87" spans="1:14" x14ac:dyDescent="0.25">
      <c r="A87" s="4"/>
      <c r="B87" s="316"/>
      <c r="C87" s="5" t="s">
        <v>92</v>
      </c>
      <c r="D87" s="229"/>
      <c r="E87" s="229"/>
      <c r="F87" s="61"/>
      <c r="G87" s="413"/>
      <c r="H87" s="62"/>
      <c r="I87" s="62"/>
      <c r="J87" s="62"/>
      <c r="K87" s="62"/>
      <c r="L87" s="62"/>
      <c r="M87" s="62"/>
      <c r="N87" s="62"/>
    </row>
    <row r="88" spans="1:14" x14ac:dyDescent="0.25">
      <c r="A88" s="4"/>
      <c r="B88" s="316"/>
      <c r="C88" s="5" t="s">
        <v>93</v>
      </c>
      <c r="D88" s="92"/>
      <c r="E88" s="92"/>
      <c r="F88" s="61"/>
      <c r="G88" s="413"/>
      <c r="H88" s="62"/>
      <c r="I88" s="62"/>
      <c r="J88" s="62"/>
      <c r="K88" s="66"/>
      <c r="L88" s="62"/>
      <c r="M88" s="62"/>
      <c r="N88" s="62"/>
    </row>
    <row r="89" spans="1:14" x14ac:dyDescent="0.2">
      <c r="A89" s="4"/>
      <c r="B89" s="316" t="s">
        <v>96</v>
      </c>
      <c r="C89" s="5" t="s">
        <v>777</v>
      </c>
      <c r="D89" s="91">
        <v>3325.41</v>
      </c>
      <c r="E89" s="93">
        <f>844.91/13.72</f>
        <v>61.582361516034979</v>
      </c>
      <c r="F89" s="61">
        <v>72.36</v>
      </c>
      <c r="G89" s="413"/>
      <c r="H89" s="62"/>
      <c r="I89" s="62"/>
      <c r="J89" s="62"/>
      <c r="K89" s="62"/>
      <c r="L89" s="62"/>
      <c r="M89" s="62"/>
      <c r="N89" s="62"/>
    </row>
    <row r="90" spans="1:14" x14ac:dyDescent="0.25">
      <c r="A90" s="4"/>
      <c r="B90" s="316"/>
      <c r="C90" s="5" t="s">
        <v>92</v>
      </c>
      <c r="D90" s="229"/>
      <c r="E90" s="229"/>
      <c r="F90" s="61"/>
      <c r="G90" s="413"/>
      <c r="H90" s="62"/>
      <c r="I90" s="62"/>
      <c r="J90" s="62"/>
      <c r="K90" s="62"/>
      <c r="L90" s="62"/>
      <c r="M90" s="62"/>
      <c r="N90" s="62"/>
    </row>
    <row r="91" spans="1:14" x14ac:dyDescent="0.25">
      <c r="A91" s="4"/>
      <c r="B91" s="386"/>
      <c r="C91" s="5" t="s">
        <v>93</v>
      </c>
      <c r="D91" s="92"/>
      <c r="E91" s="92"/>
      <c r="F91" s="61"/>
      <c r="G91" s="413"/>
      <c r="H91" s="62"/>
      <c r="I91" s="62"/>
      <c r="J91" s="62"/>
      <c r="K91" s="62"/>
      <c r="L91" s="62"/>
      <c r="M91" s="62"/>
      <c r="N91" s="62"/>
    </row>
    <row r="92" spans="1:14" s="57" customFormat="1" x14ac:dyDescent="0.25">
      <c r="B92" s="387"/>
      <c r="C92" s="388"/>
      <c r="D92" s="388"/>
      <c r="E92" s="388"/>
      <c r="F92" s="388"/>
      <c r="G92" s="389"/>
    </row>
    <row r="93" spans="1:14" x14ac:dyDescent="0.25">
      <c r="A93" s="4"/>
      <c r="B93" s="376" t="s">
        <v>778</v>
      </c>
      <c r="C93" s="377"/>
      <c r="D93" s="377"/>
      <c r="E93" s="377"/>
      <c r="F93" s="377"/>
      <c r="G93" s="378"/>
      <c r="H93" s="62"/>
      <c r="I93" s="62"/>
      <c r="J93" s="62"/>
      <c r="K93" s="62"/>
      <c r="L93" s="62"/>
      <c r="M93" s="62"/>
      <c r="N93" s="62"/>
    </row>
    <row r="94" spans="1:14" x14ac:dyDescent="0.25">
      <c r="A94" s="4"/>
      <c r="B94" s="379" t="s">
        <v>128</v>
      </c>
      <c r="C94" s="380"/>
      <c r="D94" s="380"/>
      <c r="E94" s="380"/>
      <c r="F94" s="380"/>
      <c r="G94" s="381"/>
      <c r="H94" s="62"/>
      <c r="I94" s="62"/>
      <c r="J94" s="62"/>
      <c r="K94" s="62"/>
      <c r="L94" s="62"/>
      <c r="M94" s="62"/>
      <c r="N94" s="62"/>
    </row>
    <row r="95" spans="1:14" x14ac:dyDescent="0.25">
      <c r="A95" s="4"/>
      <c r="B95" s="353"/>
      <c r="C95" s="354"/>
      <c r="D95" s="354"/>
      <c r="E95" s="354"/>
      <c r="F95" s="354"/>
      <c r="G95" s="355"/>
      <c r="H95" s="62"/>
      <c r="I95" s="62"/>
      <c r="J95" s="62"/>
      <c r="K95" s="62"/>
      <c r="L95" s="62"/>
      <c r="M95" s="62"/>
      <c r="N95" s="62"/>
    </row>
    <row r="96" spans="1:14" x14ac:dyDescent="0.25">
      <c r="A96" s="26"/>
      <c r="B96" s="12"/>
      <c r="C96" s="323"/>
      <c r="D96" s="323"/>
      <c r="E96" s="323"/>
      <c r="F96" s="323"/>
      <c r="G96" s="323"/>
      <c r="H96" s="62"/>
      <c r="I96" s="62"/>
      <c r="J96" s="26"/>
      <c r="K96" s="26"/>
      <c r="L96" s="26"/>
      <c r="M96" s="26"/>
      <c r="N96" s="26"/>
    </row>
    <row r="97" spans="1:14" x14ac:dyDescent="0.25">
      <c r="A97" s="13">
        <v>14</v>
      </c>
      <c r="B97" s="70" t="s">
        <v>99</v>
      </c>
      <c r="C97" s="324" t="s">
        <v>48</v>
      </c>
      <c r="D97" s="325"/>
      <c r="E97" s="325"/>
      <c r="F97" s="325"/>
      <c r="G97" s="326"/>
      <c r="H97" s="26"/>
      <c r="I97" s="26"/>
      <c r="J97" s="26"/>
      <c r="K97" s="26"/>
      <c r="L97" s="26"/>
      <c r="M97" s="26"/>
      <c r="N97" s="26"/>
    </row>
    <row r="98" spans="1:14" x14ac:dyDescent="0.25">
      <c r="A98" s="234"/>
      <c r="B98" s="26"/>
      <c r="C98" s="84"/>
      <c r="D98" s="84"/>
      <c r="E98" s="84"/>
      <c r="F98" s="84"/>
      <c r="G98" s="84"/>
      <c r="H98" s="26"/>
      <c r="I98" s="26"/>
      <c r="J98" s="26"/>
      <c r="K98" s="26"/>
      <c r="L98" s="26"/>
      <c r="M98" s="26"/>
      <c r="N98" s="26"/>
    </row>
    <row r="99" spans="1:14" x14ac:dyDescent="0.25">
      <c r="A99" s="26"/>
      <c r="B99" s="26"/>
      <c r="C99" s="84"/>
      <c r="D99" s="84"/>
      <c r="E99" s="84"/>
      <c r="F99" s="84"/>
      <c r="G99" s="84"/>
      <c r="H99" s="26"/>
      <c r="I99" s="26"/>
      <c r="J99" s="26"/>
      <c r="K99" s="26"/>
      <c r="L99" s="26"/>
      <c r="M99" s="26"/>
      <c r="N99" s="26"/>
    </row>
    <row r="100" spans="1:14" x14ac:dyDescent="0.25">
      <c r="A100" s="26"/>
      <c r="I100" s="26"/>
      <c r="J100" s="26"/>
      <c r="K100" s="26"/>
      <c r="L100" s="26"/>
      <c r="M100" s="26"/>
      <c r="N100" s="26"/>
    </row>
    <row r="101" spans="1:14" x14ac:dyDescent="0.25">
      <c r="A101" s="26"/>
      <c r="B101" s="374" t="s">
        <v>790</v>
      </c>
      <c r="C101" s="375"/>
      <c r="D101" s="375"/>
      <c r="E101" s="375"/>
      <c r="F101" s="375"/>
      <c r="G101" s="375"/>
      <c r="H101" s="375"/>
      <c r="J101" s="26"/>
      <c r="K101" s="26"/>
      <c r="L101" s="26"/>
      <c r="M101" s="26"/>
      <c r="N101" s="26"/>
    </row>
    <row r="106" spans="1:14" x14ac:dyDescent="0.25">
      <c r="D106" s="127"/>
      <c r="E106" s="127"/>
    </row>
    <row r="107" spans="1:14" x14ac:dyDescent="0.25">
      <c r="E107" s="127"/>
    </row>
  </sheetData>
  <sheetProtection password="DB00"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2"/>
    <mergeCell ref="G80:G91"/>
    <mergeCell ref="B83:B85"/>
    <mergeCell ref="B86:B88"/>
    <mergeCell ref="B89:B91"/>
    <mergeCell ref="B101:H101"/>
    <mergeCell ref="B92:G92"/>
    <mergeCell ref="B93:G93"/>
    <mergeCell ref="B94:G94"/>
    <mergeCell ref="B95:G95"/>
    <mergeCell ref="C96:G96"/>
    <mergeCell ref="C97:G9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workbookViewId="0">
      <selection activeCell="B23" sqref="B23:E23"/>
    </sheetView>
  </sheetViews>
  <sheetFormatPr defaultColWidth="8.85546875" defaultRowHeight="12.75" x14ac:dyDescent="0.25"/>
  <cols>
    <col min="1" max="1" width="8.85546875" style="73"/>
    <col min="2" max="2" width="40.85546875" style="73" customWidth="1"/>
    <col min="3" max="3" width="43.42578125" style="73" customWidth="1"/>
    <col min="4" max="4" width="15.85546875" style="73" customWidth="1"/>
    <col min="5" max="5" width="22.28515625" style="73" customWidth="1"/>
    <col min="6" max="6" width="11.28515625" style="73" customWidth="1"/>
    <col min="7" max="7" width="12.7109375" style="73" customWidth="1"/>
    <col min="8" max="16384" width="8.85546875" style="73"/>
  </cols>
  <sheetData>
    <row r="1" spans="1:25"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x14ac:dyDescent="0.25">
      <c r="A3" s="4" t="s">
        <v>1</v>
      </c>
      <c r="B3" s="5" t="s">
        <v>2</v>
      </c>
      <c r="C3" s="250" t="s">
        <v>762</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x14ac:dyDescent="0.25">
      <c r="A5" s="10">
        <v>1</v>
      </c>
      <c r="B5" s="11" t="s">
        <v>4</v>
      </c>
      <c r="C5" s="324" t="s">
        <v>759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763</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c r="F11" s="26"/>
      <c r="G11" s="26"/>
      <c r="H11" s="26"/>
      <c r="I11" s="26"/>
      <c r="J11" s="26"/>
      <c r="K11" s="26"/>
      <c r="L11" s="26"/>
      <c r="M11" s="26"/>
      <c r="N11" s="26"/>
    </row>
    <row r="12" spans="1:25"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x14ac:dyDescent="0.25">
      <c r="A14" s="13">
        <v>4</v>
      </c>
      <c r="B14" s="5" t="s">
        <v>11</v>
      </c>
      <c r="C14" s="250" t="s">
        <v>764</v>
      </c>
      <c r="D14" s="9"/>
      <c r="E14" s="26"/>
      <c r="F14" s="26"/>
      <c r="G14" s="26"/>
      <c r="H14" s="26"/>
      <c r="I14" s="26"/>
      <c r="J14" s="26"/>
      <c r="K14" s="26"/>
      <c r="L14" s="26"/>
      <c r="M14" s="26"/>
      <c r="N14" s="26"/>
    </row>
    <row r="15" spans="1:25" ht="13.5"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ht="12.75" customHeight="1" x14ac:dyDescent="0.25">
      <c r="A17" s="13">
        <v>5</v>
      </c>
      <c r="B17" s="333" t="s">
        <v>14</v>
      </c>
      <c r="C17" s="372"/>
      <c r="D17" s="372"/>
      <c r="E17" s="372"/>
      <c r="F17" s="15"/>
      <c r="G17" s="15"/>
      <c r="H17" s="15"/>
      <c r="I17" s="15"/>
      <c r="J17" s="17"/>
      <c r="K17" s="17"/>
      <c r="L17" s="17"/>
      <c r="M17" s="17"/>
      <c r="N17" s="17"/>
    </row>
    <row r="18" spans="1:14" x14ac:dyDescent="0.25">
      <c r="A18" s="13"/>
      <c r="B18" s="247" t="s">
        <v>15</v>
      </c>
      <c r="C18" s="373" t="s">
        <v>16</v>
      </c>
      <c r="D18" s="373"/>
      <c r="E18" s="373"/>
      <c r="F18" s="19"/>
      <c r="G18" s="17"/>
      <c r="H18" s="17"/>
      <c r="I18" s="17"/>
      <c r="J18" s="17"/>
      <c r="K18" s="17"/>
      <c r="L18" s="17"/>
      <c r="M18" s="17"/>
      <c r="N18" s="17"/>
    </row>
    <row r="19" spans="1:14" ht="25.5" x14ac:dyDescent="0.25">
      <c r="A19" s="13"/>
      <c r="B19" s="247" t="s">
        <v>765</v>
      </c>
      <c r="C19" s="363" t="s">
        <v>16</v>
      </c>
      <c r="D19" s="363"/>
      <c r="E19" s="363"/>
      <c r="F19" s="19"/>
      <c r="G19" s="17"/>
      <c r="I19" s="17"/>
      <c r="J19" s="17"/>
      <c r="K19" s="17"/>
      <c r="L19" s="17"/>
      <c r="M19" s="17"/>
      <c r="N19" s="17"/>
    </row>
    <row r="20" spans="1:14" x14ac:dyDescent="0.25">
      <c r="A20" s="13"/>
      <c r="B20" s="247" t="s">
        <v>664</v>
      </c>
      <c r="C20" s="363" t="s">
        <v>16</v>
      </c>
      <c r="D20" s="363"/>
      <c r="E20" s="363"/>
      <c r="F20" s="19"/>
      <c r="G20" s="17"/>
      <c r="H20" s="17"/>
      <c r="I20" s="17"/>
      <c r="J20" s="17"/>
      <c r="K20" s="17"/>
      <c r="L20" s="17"/>
      <c r="M20" s="17"/>
      <c r="N20" s="17"/>
    </row>
    <row r="21" spans="1:14" x14ac:dyDescent="0.25">
      <c r="A21" s="13"/>
      <c r="B21" s="247"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ht="12.75" customHeight="1" x14ac:dyDescent="0.25">
      <c r="A23" s="13"/>
      <c r="B23" s="353" t="s">
        <v>769</v>
      </c>
      <c r="C23" s="354"/>
      <c r="D23" s="354"/>
      <c r="E23" s="355"/>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12.75" customHeight="1"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46" t="s">
        <v>24</v>
      </c>
      <c r="C28" s="245" t="s">
        <v>324</v>
      </c>
      <c r="D28" s="245" t="s">
        <v>325</v>
      </c>
      <c r="E28" s="245" t="s">
        <v>27</v>
      </c>
      <c r="F28" s="19"/>
      <c r="G28" s="26"/>
      <c r="H28" s="26"/>
      <c r="I28" s="26"/>
      <c r="J28" s="26"/>
      <c r="K28" s="26"/>
      <c r="L28" s="26"/>
      <c r="M28" s="26"/>
      <c r="N28" s="26"/>
    </row>
    <row r="29" spans="1:14" ht="12.75" customHeight="1" x14ac:dyDescent="0.25">
      <c r="A29" s="13"/>
      <c r="B29" s="249" t="s">
        <v>28</v>
      </c>
      <c r="C29" s="251">
        <v>728.14</v>
      </c>
      <c r="D29" s="251">
        <v>953.13</v>
      </c>
      <c r="E29" s="420" t="s">
        <v>265</v>
      </c>
      <c r="F29" s="19"/>
      <c r="G29" s="26"/>
      <c r="H29" s="26"/>
      <c r="I29" s="26"/>
      <c r="J29" s="26"/>
      <c r="K29" s="26"/>
      <c r="L29" s="26"/>
      <c r="M29" s="26"/>
      <c r="N29" s="26"/>
    </row>
    <row r="30" spans="1:14" x14ac:dyDescent="0.25">
      <c r="A30" s="13"/>
      <c r="B30" s="249" t="s">
        <v>29</v>
      </c>
      <c r="C30" s="251">
        <v>103.37</v>
      </c>
      <c r="D30" s="251">
        <v>57.94</v>
      </c>
      <c r="E30" s="421"/>
      <c r="F30" s="19"/>
      <c r="G30" s="26"/>
      <c r="H30" s="26"/>
      <c r="I30" s="26"/>
      <c r="J30" s="26"/>
      <c r="K30" s="26"/>
      <c r="L30" s="26"/>
      <c r="M30" s="26"/>
      <c r="N30" s="26"/>
    </row>
    <row r="31" spans="1:14" x14ac:dyDescent="0.25">
      <c r="A31" s="13"/>
      <c r="B31" s="249" t="s">
        <v>30</v>
      </c>
      <c r="C31" s="251">
        <v>137.19999999999999</v>
      </c>
      <c r="D31" s="251">
        <v>137.19999999999999</v>
      </c>
      <c r="E31" s="421"/>
      <c r="F31" s="19"/>
      <c r="G31" s="26"/>
      <c r="H31" s="26"/>
      <c r="I31" s="26"/>
      <c r="J31" s="26"/>
      <c r="K31" s="26"/>
      <c r="L31" s="26"/>
      <c r="M31" s="26"/>
      <c r="N31" s="26"/>
    </row>
    <row r="32" spans="1:14" x14ac:dyDescent="0.25">
      <c r="A32" s="13"/>
      <c r="B32" s="249" t="s">
        <v>31</v>
      </c>
      <c r="C32" s="251">
        <v>925.68</v>
      </c>
      <c r="D32" s="251">
        <v>956.19</v>
      </c>
      <c r="E32" s="422"/>
      <c r="F32" s="19"/>
      <c r="G32" s="26"/>
      <c r="H32" s="26"/>
      <c r="I32" s="26"/>
      <c r="J32" s="26"/>
      <c r="K32" s="26"/>
      <c r="L32" s="26"/>
      <c r="M32" s="26"/>
      <c r="N32" s="26"/>
    </row>
    <row r="33" spans="1:14" ht="12.75" customHeight="1" x14ac:dyDescent="0.25">
      <c r="A33" s="13"/>
      <c r="B33" s="353" t="s">
        <v>769</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ht="12.75" customHeight="1" x14ac:dyDescent="0.25">
      <c r="A35" s="13">
        <v>7</v>
      </c>
      <c r="B35" s="333" t="s">
        <v>33</v>
      </c>
      <c r="C35" s="333"/>
      <c r="D35" s="333"/>
      <c r="E35" s="333"/>
      <c r="F35" s="15"/>
      <c r="G35" s="15"/>
      <c r="H35" s="15"/>
      <c r="I35" s="15"/>
      <c r="J35" s="15"/>
      <c r="K35" s="26"/>
      <c r="L35" s="26"/>
      <c r="M35" s="26"/>
      <c r="N35" s="26"/>
    </row>
    <row r="36" spans="1:14" x14ac:dyDescent="0.25">
      <c r="A36" s="13"/>
      <c r="B36" s="246" t="s">
        <v>34</v>
      </c>
      <c r="C36" s="251" t="s">
        <v>245</v>
      </c>
      <c r="D36" s="17"/>
      <c r="E36" s="17"/>
      <c r="F36" s="17"/>
      <c r="G36" s="26"/>
      <c r="H36" s="26"/>
      <c r="I36" s="26"/>
      <c r="J36" s="26"/>
      <c r="K36" s="26"/>
      <c r="L36" s="26"/>
      <c r="M36" s="26"/>
      <c r="N36" s="26"/>
    </row>
    <row r="37" spans="1:14" x14ac:dyDescent="0.25">
      <c r="A37" s="13"/>
      <c r="B37" s="246" t="s">
        <v>36</v>
      </c>
      <c r="C37" s="251" t="s">
        <v>873</v>
      </c>
      <c r="D37" s="17"/>
      <c r="E37" s="17"/>
      <c r="F37" s="17"/>
      <c r="G37" s="26"/>
      <c r="H37" s="26"/>
      <c r="I37" s="26"/>
      <c r="J37" s="26"/>
      <c r="K37" s="26"/>
      <c r="L37" s="26"/>
      <c r="M37" s="26"/>
      <c r="N37" s="26"/>
    </row>
    <row r="38" spans="1:14" x14ac:dyDescent="0.25">
      <c r="A38" s="13"/>
      <c r="B38" s="252" t="s">
        <v>37</v>
      </c>
      <c r="C38" s="255" t="s">
        <v>263</v>
      </c>
      <c r="D38" s="17"/>
      <c r="E38" s="17"/>
      <c r="F38" s="17"/>
      <c r="G38" s="26"/>
      <c r="H38" s="26"/>
      <c r="I38" s="26"/>
      <c r="J38" s="26"/>
      <c r="K38" s="26"/>
      <c r="L38" s="26"/>
      <c r="M38" s="26"/>
      <c r="N38" s="26"/>
    </row>
    <row r="39" spans="1:14" ht="12.75" customHeight="1" x14ac:dyDescent="0.25">
      <c r="A39" s="13"/>
      <c r="B39" s="382" t="s">
        <v>606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ht="12.75" customHeight="1" x14ac:dyDescent="0.25">
      <c r="A42" s="13">
        <v>8</v>
      </c>
      <c r="B42" s="333" t="s">
        <v>38</v>
      </c>
      <c r="C42" s="333"/>
      <c r="D42" s="333"/>
      <c r="E42" s="333"/>
      <c r="F42" s="15"/>
      <c r="G42" s="15"/>
      <c r="H42" s="15"/>
      <c r="I42" s="15"/>
      <c r="J42" s="15"/>
      <c r="K42" s="26"/>
      <c r="L42" s="26"/>
      <c r="M42" s="26"/>
      <c r="N42" s="26"/>
    </row>
    <row r="43" spans="1:14" ht="12.75" customHeight="1" x14ac:dyDescent="0.25">
      <c r="A43" s="13"/>
      <c r="B43" s="246" t="s">
        <v>39</v>
      </c>
      <c r="D43" s="73" t="s">
        <v>607</v>
      </c>
      <c r="F43" s="17"/>
      <c r="G43" s="26"/>
      <c r="H43" s="26"/>
      <c r="I43" s="26"/>
      <c r="J43" s="26"/>
      <c r="K43" s="26"/>
      <c r="L43" s="26"/>
      <c r="M43" s="26"/>
      <c r="N43" s="26"/>
    </row>
    <row r="44" spans="1:14" ht="12.75" customHeight="1" x14ac:dyDescent="0.25">
      <c r="A44" s="13"/>
      <c r="B44" s="246" t="s">
        <v>36</v>
      </c>
      <c r="C44" s="350" t="s">
        <v>876</v>
      </c>
      <c r="D44" s="351"/>
      <c r="E44" s="352"/>
      <c r="F44" s="17"/>
      <c r="G44" s="26"/>
      <c r="H44" s="26"/>
      <c r="I44" s="26"/>
      <c r="J44" s="26"/>
      <c r="K44" s="26"/>
      <c r="L44" s="26"/>
      <c r="M44" s="26"/>
      <c r="N44" s="26"/>
    </row>
    <row r="45" spans="1:14" x14ac:dyDescent="0.25">
      <c r="A45" s="13"/>
      <c r="B45" s="246" t="s">
        <v>37</v>
      </c>
      <c r="C45" s="367" t="s">
        <v>263</v>
      </c>
      <c r="D45" s="367"/>
      <c r="E45" s="367"/>
      <c r="F45" s="17"/>
      <c r="G45" s="26"/>
      <c r="H45" s="26"/>
      <c r="I45" s="26"/>
      <c r="J45" s="26"/>
      <c r="K45" s="26"/>
      <c r="L45" s="26"/>
      <c r="M45" s="26"/>
      <c r="N45" s="26"/>
    </row>
    <row r="46" spans="1:14" ht="12.75" customHeight="1"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ht="12.75" customHeight="1" x14ac:dyDescent="0.25">
      <c r="A48" s="29">
        <v>9</v>
      </c>
      <c r="B48" s="340" t="s">
        <v>41</v>
      </c>
      <c r="C48" s="333"/>
      <c r="D48" s="333"/>
      <c r="E48" s="333"/>
      <c r="F48" s="30"/>
      <c r="G48" s="15"/>
      <c r="H48" s="15"/>
      <c r="I48" s="15"/>
      <c r="J48" s="26"/>
      <c r="K48" s="26"/>
      <c r="L48" s="26"/>
      <c r="M48" s="26"/>
    </row>
    <row r="49" spans="1:14" ht="25.5" x14ac:dyDescent="0.25">
      <c r="A49" s="29"/>
      <c r="B49" s="244" t="s">
        <v>42</v>
      </c>
      <c r="C49" s="32" t="s">
        <v>43</v>
      </c>
      <c r="D49" s="33" t="s">
        <v>44</v>
      </c>
      <c r="E49" s="32" t="s">
        <v>268</v>
      </c>
      <c r="F49" s="26"/>
      <c r="G49" s="26"/>
      <c r="H49" s="26"/>
      <c r="I49" s="26"/>
      <c r="J49" s="26"/>
      <c r="K49" s="26"/>
      <c r="L49" s="26"/>
      <c r="M49" s="26"/>
    </row>
    <row r="50" spans="1:14" ht="114.75" x14ac:dyDescent="0.25">
      <c r="A50" s="34"/>
      <c r="B50" s="94" t="s">
        <v>369</v>
      </c>
      <c r="C50" s="94" t="s">
        <v>766</v>
      </c>
      <c r="D50" s="311" t="s">
        <v>942</v>
      </c>
      <c r="E50" s="311" t="s">
        <v>48</v>
      </c>
      <c r="F50" s="26"/>
      <c r="G50" s="26"/>
      <c r="H50" s="26"/>
      <c r="I50" s="26"/>
      <c r="J50" s="26"/>
      <c r="K50" s="26"/>
      <c r="L50" s="26"/>
      <c r="M50" s="26"/>
    </row>
    <row r="51" spans="1:14" ht="12.75" customHeight="1" x14ac:dyDescent="0.25">
      <c r="A51" s="36"/>
      <c r="B51" s="345" t="s">
        <v>767</v>
      </c>
      <c r="C51" s="346"/>
      <c r="D51" s="346"/>
      <c r="E51" s="347"/>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ht="12.75" customHeight="1" x14ac:dyDescent="0.25">
      <c r="A53" s="29">
        <v>10</v>
      </c>
      <c r="B53" s="340" t="s">
        <v>41</v>
      </c>
      <c r="C53" s="333"/>
      <c r="D53" s="333"/>
      <c r="E53" s="333"/>
      <c r="F53" s="19"/>
      <c r="G53" s="19"/>
      <c r="H53" s="19"/>
      <c r="I53" s="26"/>
      <c r="J53" s="26"/>
      <c r="K53" s="26"/>
      <c r="L53" s="26"/>
      <c r="M53" s="26"/>
    </row>
    <row r="54" spans="1:14" ht="12.75" customHeight="1" x14ac:dyDescent="0.25">
      <c r="A54" s="34"/>
      <c r="B54" s="357" t="s">
        <v>50</v>
      </c>
      <c r="C54" s="394" t="s">
        <v>916</v>
      </c>
      <c r="D54" s="395"/>
      <c r="E54" s="396"/>
      <c r="F54" s="26"/>
      <c r="G54" s="26"/>
      <c r="H54" s="26"/>
      <c r="I54" s="26"/>
      <c r="J54" s="26"/>
      <c r="K54" s="2"/>
      <c r="L54" s="26"/>
      <c r="M54" s="26"/>
    </row>
    <row r="55" spans="1:14" ht="33.75" customHeight="1" x14ac:dyDescent="0.25">
      <c r="A55" s="34"/>
      <c r="B55" s="358"/>
      <c r="C55" s="397"/>
      <c r="D55" s="398"/>
      <c r="E55" s="399"/>
      <c r="F55" s="26"/>
      <c r="G55" s="26"/>
      <c r="H55" s="26"/>
      <c r="I55" s="26"/>
      <c r="J55" s="26"/>
      <c r="K55" s="2"/>
      <c r="L55" s="26"/>
      <c r="M55" s="26"/>
    </row>
    <row r="56" spans="1:14" x14ac:dyDescent="0.25">
      <c r="A56" s="29"/>
      <c r="B56" s="39" t="s">
        <v>54</v>
      </c>
      <c r="C56" s="344" t="s">
        <v>248</v>
      </c>
      <c r="D56" s="344"/>
      <c r="E56" s="344"/>
      <c r="F56" s="26"/>
      <c r="G56" s="26"/>
      <c r="H56" s="26"/>
      <c r="I56" s="26"/>
      <c r="J56" s="26"/>
      <c r="K56" s="12"/>
      <c r="L56" s="26"/>
      <c r="M56" s="26"/>
    </row>
    <row r="57" spans="1:14" x14ac:dyDescent="0.25">
      <c r="A57" s="34"/>
      <c r="B57" s="39" t="s">
        <v>55</v>
      </c>
      <c r="C57" s="438" t="s">
        <v>56</v>
      </c>
      <c r="D57" s="439"/>
      <c r="E57" s="440"/>
      <c r="F57" s="26"/>
      <c r="G57" s="26"/>
      <c r="H57" s="26"/>
      <c r="I57" s="26"/>
      <c r="J57" s="26"/>
      <c r="K57" s="40"/>
      <c r="L57" s="26"/>
      <c r="M57" s="26"/>
    </row>
    <row r="58" spans="1:14" ht="12.75" customHeight="1" x14ac:dyDescent="0.25">
      <c r="A58" s="34"/>
      <c r="B58" s="345" t="s">
        <v>767</v>
      </c>
      <c r="C58" s="346"/>
      <c r="D58" s="346"/>
      <c r="E58" s="347"/>
      <c r="F58" s="26"/>
      <c r="G58" s="26"/>
      <c r="H58" s="26"/>
      <c r="I58" s="26"/>
      <c r="J58" s="26"/>
      <c r="K58" s="40"/>
      <c r="L58" s="26"/>
      <c r="M58" s="26"/>
    </row>
    <row r="59" spans="1:14" s="76"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c r="M60" s="26"/>
      <c r="N60" s="26"/>
    </row>
    <row r="61" spans="1:14" ht="12.75" customHeight="1" x14ac:dyDescent="0.25">
      <c r="A61" s="13">
        <v>11</v>
      </c>
      <c r="B61" s="5" t="s">
        <v>59</v>
      </c>
      <c r="C61" s="349" t="s">
        <v>60</v>
      </c>
      <c r="D61" s="349"/>
      <c r="E61" s="349"/>
      <c r="F61" s="15"/>
      <c r="G61" s="15"/>
      <c r="H61" s="51"/>
      <c r="I61" s="15"/>
      <c r="J61" s="15"/>
      <c r="K61" s="26"/>
      <c r="L61" s="12"/>
      <c r="M61" s="26"/>
      <c r="N61" s="26"/>
    </row>
    <row r="62" spans="1:14" x14ac:dyDescent="0.25">
      <c r="A62" s="13"/>
      <c r="B62" s="19"/>
      <c r="C62" s="19"/>
      <c r="D62" s="19"/>
      <c r="E62" s="19"/>
      <c r="F62" s="19"/>
      <c r="G62" s="19"/>
      <c r="H62" s="52"/>
      <c r="I62" s="52"/>
      <c r="J62" s="19"/>
      <c r="K62" s="26"/>
      <c r="L62" s="26"/>
      <c r="M62" s="26"/>
      <c r="N62" s="26"/>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46" t="s">
        <v>62</v>
      </c>
      <c r="C65" s="249" t="s">
        <v>770</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ht="12.75" customHeight="1" x14ac:dyDescent="0.25">
      <c r="A67" s="13"/>
      <c r="B67" s="333" t="s">
        <v>64</v>
      </c>
      <c r="C67" s="372" t="s">
        <v>768</v>
      </c>
      <c r="D67" s="372" t="s">
        <v>333</v>
      </c>
      <c r="E67" s="336" t="s">
        <v>294</v>
      </c>
      <c r="F67" s="327" t="s">
        <v>933</v>
      </c>
      <c r="G67" s="328"/>
      <c r="H67" s="329"/>
      <c r="I67" s="330" t="s">
        <v>934</v>
      </c>
      <c r="J67" s="330"/>
      <c r="K67" s="330"/>
      <c r="L67" s="330" t="s">
        <v>70</v>
      </c>
      <c r="M67" s="330"/>
      <c r="N67" s="330"/>
    </row>
    <row r="68" spans="1:14" ht="38.25" x14ac:dyDescent="0.25">
      <c r="A68" s="4"/>
      <c r="B68" s="333"/>
      <c r="C68" s="335"/>
      <c r="D68" s="335"/>
      <c r="E68" s="337"/>
      <c r="F68" s="246" t="s">
        <v>71</v>
      </c>
      <c r="G68" s="246" t="s">
        <v>72</v>
      </c>
      <c r="H68" s="246" t="s">
        <v>73</v>
      </c>
      <c r="I68" s="246" t="s">
        <v>74</v>
      </c>
      <c r="J68" s="246" t="s">
        <v>72</v>
      </c>
      <c r="K68" s="246" t="s">
        <v>73</v>
      </c>
      <c r="L68" s="246" t="s">
        <v>74</v>
      </c>
      <c r="M68" s="246" t="s">
        <v>72</v>
      </c>
      <c r="N68" s="246" t="s">
        <v>73</v>
      </c>
    </row>
    <row r="69" spans="1:14" x14ac:dyDescent="0.25">
      <c r="A69" s="4"/>
      <c r="B69" s="246" t="s">
        <v>75</v>
      </c>
      <c r="C69" s="131">
        <v>54.8</v>
      </c>
      <c r="D69" s="53">
        <v>148</v>
      </c>
      <c r="E69" s="53">
        <v>208.05</v>
      </c>
      <c r="F69" s="53">
        <v>200</v>
      </c>
      <c r="G69" s="53">
        <v>230.5</v>
      </c>
      <c r="H69" s="53">
        <v>52.2</v>
      </c>
      <c r="I69" s="53">
        <v>285</v>
      </c>
      <c r="J69" s="53">
        <v>285</v>
      </c>
      <c r="K69" s="53">
        <v>167</v>
      </c>
      <c r="L69" s="53" t="s">
        <v>48</v>
      </c>
      <c r="M69" s="53" t="s">
        <v>48</v>
      </c>
      <c r="N69" s="53" t="s">
        <v>48</v>
      </c>
    </row>
    <row r="70" spans="1:14" ht="25.5" x14ac:dyDescent="0.25">
      <c r="A70" s="4"/>
      <c r="B70" s="246" t="s">
        <v>278</v>
      </c>
      <c r="C70" s="131">
        <v>37090.82</v>
      </c>
      <c r="D70" s="131">
        <v>39950.46</v>
      </c>
      <c r="E70" s="53" t="s">
        <v>48</v>
      </c>
      <c r="F70" s="53">
        <v>8597.75</v>
      </c>
      <c r="G70" s="53">
        <v>12430.5</v>
      </c>
      <c r="H70" s="53">
        <v>7511.1</v>
      </c>
      <c r="I70" s="53">
        <v>49509.15</v>
      </c>
      <c r="J70" s="53">
        <v>52516.76</v>
      </c>
      <c r="K70" s="53">
        <v>27500.79</v>
      </c>
      <c r="L70" s="53" t="s">
        <v>48</v>
      </c>
      <c r="M70" s="53" t="s">
        <v>48</v>
      </c>
      <c r="N70" s="53" t="s">
        <v>48</v>
      </c>
    </row>
    <row r="71" spans="1:14" ht="13.5" x14ac:dyDescent="0.25">
      <c r="A71" s="4"/>
      <c r="B71" s="383" t="s">
        <v>21</v>
      </c>
      <c r="C71" s="434"/>
      <c r="D71" s="434"/>
      <c r="E71" s="383"/>
      <c r="F71" s="383"/>
      <c r="G71" s="383"/>
      <c r="H71" s="383"/>
      <c r="I71" s="383"/>
      <c r="J71" s="383"/>
      <c r="K71" s="383"/>
      <c r="L71" s="383"/>
      <c r="M71" s="383"/>
      <c r="N71" s="383"/>
    </row>
    <row r="72" spans="1:14" ht="12.75" customHeight="1" x14ac:dyDescent="0.25">
      <c r="A72" s="4"/>
      <c r="B72" s="382" t="s">
        <v>79</v>
      </c>
      <c r="C72" s="382"/>
      <c r="D72" s="382"/>
      <c r="E72" s="382"/>
      <c r="F72" s="382"/>
      <c r="G72" s="382"/>
      <c r="H72" s="382"/>
      <c r="I72" s="382"/>
      <c r="J72" s="382"/>
      <c r="K72" s="382"/>
      <c r="L72" s="382"/>
      <c r="M72" s="382"/>
      <c r="N72" s="382"/>
    </row>
    <row r="73" spans="1:14" s="57" customFormat="1" ht="12.75" customHeight="1" x14ac:dyDescent="0.25">
      <c r="B73" s="382" t="s">
        <v>80</v>
      </c>
      <c r="C73" s="382"/>
      <c r="D73" s="382"/>
      <c r="E73" s="382"/>
      <c r="F73" s="382"/>
      <c r="G73" s="382"/>
      <c r="H73" s="382"/>
      <c r="I73" s="382"/>
      <c r="J73" s="382"/>
      <c r="K73" s="382"/>
      <c r="L73" s="382"/>
      <c r="M73" s="382"/>
      <c r="N73" s="382"/>
    </row>
    <row r="74" spans="1:14" ht="12.75" customHeight="1" x14ac:dyDescent="0.25">
      <c r="A74" s="4"/>
      <c r="B74" s="382" t="s">
        <v>420</v>
      </c>
      <c r="C74" s="382"/>
      <c r="D74" s="382"/>
      <c r="E74" s="382"/>
      <c r="F74" s="382"/>
      <c r="G74" s="382"/>
      <c r="H74" s="382"/>
      <c r="I74" s="382"/>
      <c r="J74" s="382"/>
      <c r="K74" s="382"/>
      <c r="L74" s="382"/>
      <c r="M74" s="382"/>
      <c r="N74" s="382"/>
    </row>
    <row r="75" spans="1:14" ht="12.75" customHeight="1"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ht="12.75" customHeight="1" x14ac:dyDescent="0.25">
      <c r="A77" s="13">
        <v>13</v>
      </c>
      <c r="B77" s="338" t="s">
        <v>83</v>
      </c>
      <c r="C77" s="339"/>
      <c r="D77" s="339"/>
      <c r="E77" s="339"/>
      <c r="F77" s="339"/>
      <c r="G77" s="340"/>
      <c r="H77" s="15"/>
      <c r="I77" s="15"/>
      <c r="J77" s="15"/>
      <c r="K77" s="15"/>
      <c r="L77" s="15"/>
      <c r="M77" s="15"/>
      <c r="N77" s="15"/>
    </row>
    <row r="78" spans="1:14" x14ac:dyDescent="0.25">
      <c r="A78" s="13"/>
      <c r="B78" s="26"/>
      <c r="C78" s="19"/>
      <c r="D78" s="19"/>
      <c r="E78" s="19"/>
      <c r="F78" s="19"/>
      <c r="G78" s="19"/>
      <c r="H78" s="19"/>
      <c r="I78" s="19"/>
      <c r="J78" s="19"/>
      <c r="K78" s="19"/>
      <c r="L78" s="19"/>
      <c r="M78" s="19"/>
      <c r="N78" s="19"/>
    </row>
    <row r="79" spans="1:14" ht="102" x14ac:dyDescent="0.25">
      <c r="A79" s="4"/>
      <c r="B79" s="243" t="s">
        <v>84</v>
      </c>
      <c r="C79" s="245" t="s">
        <v>85</v>
      </c>
      <c r="D79" s="245" t="s">
        <v>86</v>
      </c>
      <c r="E79" s="245" t="s">
        <v>280</v>
      </c>
      <c r="F79" s="245" t="s">
        <v>88</v>
      </c>
      <c r="G79" s="245" t="s">
        <v>169</v>
      </c>
      <c r="H79" s="17"/>
      <c r="I79" s="17"/>
      <c r="J79" s="17"/>
      <c r="K79" s="17"/>
      <c r="L79" s="17"/>
      <c r="M79" s="17"/>
      <c r="N79" s="17"/>
    </row>
    <row r="80" spans="1:14" ht="12.75" customHeight="1" x14ac:dyDescent="0.2">
      <c r="A80" s="4"/>
      <c r="B80" s="316" t="s">
        <v>90</v>
      </c>
      <c r="C80" s="5" t="s">
        <v>772</v>
      </c>
      <c r="D80" s="91">
        <v>5.81</v>
      </c>
      <c r="E80" s="91">
        <v>7.78</v>
      </c>
      <c r="F80" s="91">
        <v>4.22</v>
      </c>
      <c r="G80" s="412" t="s">
        <v>282</v>
      </c>
      <c r="H80" s="62"/>
      <c r="I80" s="62"/>
      <c r="J80" s="62"/>
      <c r="K80" s="62"/>
      <c r="L80" s="62"/>
      <c r="M80" s="62"/>
      <c r="N80" s="62"/>
    </row>
    <row r="81" spans="1:14" x14ac:dyDescent="0.25">
      <c r="A81" s="4"/>
      <c r="B81" s="316"/>
      <c r="C81" s="5" t="s">
        <v>92</v>
      </c>
      <c r="D81" s="248"/>
      <c r="E81" s="248"/>
      <c r="F81" s="248"/>
      <c r="G81" s="413"/>
      <c r="H81" s="62"/>
      <c r="I81" s="62"/>
      <c r="J81" s="62"/>
      <c r="K81" s="62"/>
      <c r="L81" s="62"/>
      <c r="M81" s="62"/>
      <c r="N81" s="62"/>
    </row>
    <row r="82" spans="1:14" x14ac:dyDescent="0.25">
      <c r="A82" s="4"/>
      <c r="B82" s="316"/>
      <c r="C82" s="5" t="s">
        <v>93</v>
      </c>
      <c r="D82" s="92"/>
      <c r="E82" s="92"/>
      <c r="F82" s="92"/>
      <c r="G82" s="413"/>
      <c r="H82" s="62"/>
      <c r="I82" s="62"/>
      <c r="J82" s="62"/>
      <c r="K82" s="62"/>
      <c r="L82" s="62"/>
      <c r="M82" s="62"/>
      <c r="N82" s="62"/>
    </row>
    <row r="83" spans="1:14" x14ac:dyDescent="0.2">
      <c r="A83" s="4"/>
      <c r="B83" s="316" t="s">
        <v>94</v>
      </c>
      <c r="C83" s="5" t="s">
        <v>773</v>
      </c>
      <c r="D83" s="93">
        <v>4.7699999999999996</v>
      </c>
      <c r="E83" s="93">
        <f>F69/E80</f>
        <v>25.70694087403599</v>
      </c>
      <c r="F83" s="93">
        <f>I69/F80</f>
        <v>67.535545023696685</v>
      </c>
      <c r="G83" s="413"/>
      <c r="H83" s="62"/>
      <c r="I83" s="62"/>
      <c r="J83" s="62"/>
      <c r="K83" s="62"/>
      <c r="L83" s="62"/>
      <c r="M83" s="62"/>
      <c r="N83" s="62"/>
    </row>
    <row r="84" spans="1:14" x14ac:dyDescent="0.25">
      <c r="A84" s="4"/>
      <c r="B84" s="316"/>
      <c r="C84" s="5" t="s">
        <v>92</v>
      </c>
      <c r="D84" s="248"/>
      <c r="E84" s="248"/>
      <c r="F84" s="248"/>
      <c r="G84" s="413"/>
      <c r="H84" s="62"/>
      <c r="I84" s="62"/>
      <c r="J84" s="62"/>
      <c r="K84" s="62"/>
      <c r="L84" s="62"/>
      <c r="M84" s="62"/>
      <c r="N84" s="62"/>
    </row>
    <row r="85" spans="1:14" x14ac:dyDescent="0.25">
      <c r="A85" s="4"/>
      <c r="B85" s="316"/>
      <c r="C85" s="5" t="s">
        <v>93</v>
      </c>
      <c r="D85" s="92"/>
      <c r="E85" s="92"/>
      <c r="F85" s="92"/>
      <c r="G85" s="413"/>
      <c r="H85" s="62"/>
      <c r="I85" s="62"/>
      <c r="J85" s="62"/>
      <c r="K85" s="62"/>
      <c r="L85" s="62"/>
      <c r="M85" s="62"/>
      <c r="N85" s="62"/>
    </row>
    <row r="86" spans="1:14" x14ac:dyDescent="0.2">
      <c r="A86" s="4"/>
      <c r="B86" s="316" t="s">
        <v>95</v>
      </c>
      <c r="C86" s="5" t="s">
        <v>773</v>
      </c>
      <c r="D86" s="91">
        <v>7.59</v>
      </c>
      <c r="E86" s="93">
        <f>103.36/1062.89*100</f>
        <v>9.7244305619584335</v>
      </c>
      <c r="F86" s="93">
        <f>57.94/1093.39*100</f>
        <v>5.2991155946185708</v>
      </c>
      <c r="G86" s="413"/>
      <c r="H86" s="62"/>
      <c r="I86" s="62"/>
      <c r="J86" s="62"/>
      <c r="K86" s="62"/>
      <c r="L86" s="62"/>
      <c r="M86" s="62"/>
      <c r="N86" s="62"/>
    </row>
    <row r="87" spans="1:14" x14ac:dyDescent="0.25">
      <c r="A87" s="4"/>
      <c r="B87" s="316"/>
      <c r="C87" s="5" t="s">
        <v>92</v>
      </c>
      <c r="D87" s="248"/>
      <c r="E87" s="248"/>
      <c r="F87" s="248"/>
      <c r="G87" s="413"/>
      <c r="H87" s="62"/>
      <c r="I87" s="62"/>
      <c r="J87" s="62"/>
      <c r="K87" s="62"/>
      <c r="L87" s="62"/>
      <c r="M87" s="62"/>
      <c r="N87" s="62"/>
    </row>
    <row r="88" spans="1:14" x14ac:dyDescent="0.25">
      <c r="A88" s="4"/>
      <c r="B88" s="316"/>
      <c r="C88" s="5" t="s">
        <v>93</v>
      </c>
      <c r="D88" s="92"/>
      <c r="E88" s="92"/>
      <c r="F88" s="92"/>
      <c r="G88" s="413"/>
      <c r="H88" s="62"/>
      <c r="I88" s="62"/>
      <c r="J88" s="62"/>
      <c r="K88" s="66"/>
      <c r="L88" s="62"/>
      <c r="M88" s="62"/>
      <c r="N88" s="62"/>
    </row>
    <row r="89" spans="1:14" x14ac:dyDescent="0.2">
      <c r="A89" s="4"/>
      <c r="B89" s="316" t="s">
        <v>96</v>
      </c>
      <c r="C89" s="5" t="s">
        <v>773</v>
      </c>
      <c r="D89" s="91">
        <v>76.53</v>
      </c>
      <c r="E89" s="93">
        <f>1062.89/13.72</f>
        <v>77.470116618075807</v>
      </c>
      <c r="F89" s="93">
        <f>1093.39/13.72</f>
        <v>79.693148688046648</v>
      </c>
      <c r="G89" s="413"/>
      <c r="H89" s="62"/>
      <c r="I89" s="62"/>
      <c r="J89" s="62"/>
      <c r="K89" s="62"/>
      <c r="L89" s="62"/>
      <c r="M89" s="62"/>
      <c r="N89" s="62"/>
    </row>
    <row r="90" spans="1:14" x14ac:dyDescent="0.25">
      <c r="A90" s="4"/>
      <c r="B90" s="316"/>
      <c r="C90" s="5" t="s">
        <v>92</v>
      </c>
      <c r="D90" s="248"/>
      <c r="E90" s="248"/>
      <c r="F90" s="248"/>
      <c r="G90" s="413"/>
      <c r="H90" s="62"/>
      <c r="I90" s="62"/>
      <c r="J90" s="62"/>
      <c r="K90" s="62"/>
      <c r="L90" s="62"/>
      <c r="M90" s="62"/>
      <c r="N90" s="62"/>
    </row>
    <row r="91" spans="1:14" x14ac:dyDescent="0.25">
      <c r="A91" s="4"/>
      <c r="B91" s="386"/>
      <c r="C91" s="5" t="s">
        <v>93</v>
      </c>
      <c r="D91" s="92"/>
      <c r="E91" s="92"/>
      <c r="F91" s="92"/>
      <c r="G91" s="413"/>
      <c r="H91" s="62"/>
      <c r="I91" s="62"/>
      <c r="J91" s="62"/>
      <c r="K91" s="62"/>
      <c r="L91" s="62"/>
      <c r="M91" s="62"/>
      <c r="N91" s="62"/>
    </row>
    <row r="92" spans="1:14" s="57" customFormat="1" x14ac:dyDescent="0.25">
      <c r="B92" s="387"/>
      <c r="C92" s="388"/>
      <c r="D92" s="388"/>
      <c r="E92" s="388"/>
      <c r="F92" s="388"/>
      <c r="G92" s="389"/>
    </row>
    <row r="93" spans="1:14" ht="12.75" customHeight="1" x14ac:dyDescent="0.25">
      <c r="A93" s="4"/>
      <c r="B93" s="376" t="s">
        <v>771</v>
      </c>
      <c r="C93" s="377"/>
      <c r="D93" s="377"/>
      <c r="E93" s="377"/>
      <c r="F93" s="377"/>
      <c r="G93" s="378"/>
      <c r="H93" s="62"/>
      <c r="I93" s="62"/>
      <c r="J93" s="62"/>
      <c r="K93" s="62"/>
      <c r="L93" s="62"/>
      <c r="M93" s="62"/>
      <c r="N93" s="62"/>
    </row>
    <row r="94" spans="1:14" ht="12.75" customHeight="1" x14ac:dyDescent="0.25">
      <c r="A94" s="4"/>
      <c r="B94" s="379" t="s">
        <v>128</v>
      </c>
      <c r="C94" s="380"/>
      <c r="D94" s="380"/>
      <c r="E94" s="380"/>
      <c r="F94" s="380"/>
      <c r="G94" s="381"/>
      <c r="H94" s="62"/>
      <c r="I94" s="62"/>
      <c r="J94" s="62"/>
      <c r="K94" s="62"/>
      <c r="L94" s="62"/>
      <c r="M94" s="62"/>
      <c r="N94" s="62"/>
    </row>
    <row r="95" spans="1:14" x14ac:dyDescent="0.25">
      <c r="A95" s="4"/>
      <c r="B95" s="353"/>
      <c r="C95" s="354"/>
      <c r="D95" s="354"/>
      <c r="E95" s="354"/>
      <c r="F95" s="354"/>
      <c r="G95" s="355"/>
      <c r="H95" s="62"/>
      <c r="I95" s="62"/>
      <c r="J95" s="62"/>
      <c r="K95" s="62"/>
      <c r="L95" s="62"/>
      <c r="M95" s="62"/>
      <c r="N95" s="62"/>
    </row>
    <row r="96" spans="1:14" x14ac:dyDescent="0.25">
      <c r="A96" s="26"/>
      <c r="B96" s="12"/>
      <c r="C96" s="323"/>
      <c r="D96" s="323"/>
      <c r="E96" s="323"/>
      <c r="F96" s="323"/>
      <c r="G96" s="323"/>
      <c r="H96" s="62"/>
      <c r="I96" s="62"/>
      <c r="J96" s="26"/>
      <c r="K96" s="26"/>
      <c r="L96" s="26"/>
      <c r="M96" s="26"/>
      <c r="N96" s="26"/>
    </row>
    <row r="97" spans="1:14" x14ac:dyDescent="0.25">
      <c r="A97" s="13">
        <v>14</v>
      </c>
      <c r="B97" s="70" t="s">
        <v>99</v>
      </c>
      <c r="C97" s="324" t="s">
        <v>48</v>
      </c>
      <c r="D97" s="325"/>
      <c r="E97" s="325"/>
      <c r="F97" s="325"/>
      <c r="G97" s="326"/>
      <c r="H97" s="26"/>
      <c r="I97" s="26"/>
      <c r="J97" s="26"/>
      <c r="K97" s="26"/>
      <c r="L97" s="26"/>
      <c r="M97" s="26"/>
      <c r="N97" s="26"/>
    </row>
    <row r="98" spans="1:14" x14ac:dyDescent="0.25">
      <c r="A98" s="253"/>
      <c r="B98" s="26"/>
      <c r="C98" s="84"/>
      <c r="D98" s="84"/>
      <c r="E98" s="84"/>
      <c r="F98" s="84"/>
      <c r="G98" s="84"/>
      <c r="H98" s="26"/>
      <c r="I98" s="26"/>
      <c r="J98" s="26"/>
      <c r="K98" s="26"/>
      <c r="L98" s="26"/>
      <c r="M98" s="26"/>
      <c r="N98" s="26"/>
    </row>
    <row r="99" spans="1:14" x14ac:dyDescent="0.25">
      <c r="A99" s="26"/>
      <c r="B99" s="26"/>
      <c r="C99" s="84"/>
      <c r="D99" s="84"/>
      <c r="E99" s="84"/>
      <c r="F99" s="84"/>
      <c r="G99" s="84"/>
      <c r="H99" s="26"/>
      <c r="I99" s="26"/>
      <c r="J99" s="26"/>
      <c r="K99" s="26"/>
      <c r="L99" s="26"/>
      <c r="M99" s="26"/>
      <c r="N99" s="26"/>
    </row>
    <row r="100" spans="1:14" x14ac:dyDescent="0.25">
      <c r="A100" s="26"/>
      <c r="I100" s="26"/>
      <c r="J100" s="26"/>
      <c r="K100" s="26"/>
      <c r="L100" s="26"/>
      <c r="M100" s="26"/>
      <c r="N100" s="26"/>
    </row>
    <row r="101" spans="1:14" ht="12.75" customHeight="1" x14ac:dyDescent="0.25">
      <c r="A101" s="26"/>
      <c r="B101" s="374" t="s">
        <v>791</v>
      </c>
      <c r="C101" s="375"/>
      <c r="D101" s="375"/>
      <c r="E101" s="375"/>
      <c r="F101" s="375"/>
      <c r="G101" s="375"/>
      <c r="H101" s="375"/>
      <c r="J101" s="26"/>
      <c r="K101" s="26"/>
      <c r="L101" s="26"/>
      <c r="M101" s="26"/>
      <c r="N101" s="26"/>
    </row>
    <row r="106" spans="1:14" x14ac:dyDescent="0.25">
      <c r="D106" s="127"/>
      <c r="E106" s="127"/>
    </row>
    <row r="107" spans="1:14" x14ac:dyDescent="0.25">
      <c r="E107" s="127"/>
    </row>
  </sheetData>
  <sheetProtection password="DB00" sheet="1" objects="1" scenarios="1"/>
  <mergeCells count="59">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2"/>
    <mergeCell ref="G80:G91"/>
    <mergeCell ref="B83:B85"/>
    <mergeCell ref="B86:B88"/>
    <mergeCell ref="B89:B91"/>
    <mergeCell ref="B101:H101"/>
    <mergeCell ref="B92:G92"/>
    <mergeCell ref="B93:G93"/>
    <mergeCell ref="B94:G94"/>
    <mergeCell ref="B95:G95"/>
    <mergeCell ref="C96:G96"/>
    <mergeCell ref="C97:G9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workbookViewId="0">
      <selection activeCell="C5" sqref="C5:E5"/>
    </sheetView>
  </sheetViews>
  <sheetFormatPr defaultColWidth="8.85546875" defaultRowHeight="12.75" x14ac:dyDescent="0.25"/>
  <cols>
    <col min="1" max="1" width="8.85546875" style="26"/>
    <col min="2" max="2" width="40.85546875" style="26" customWidth="1"/>
    <col min="3" max="3" width="43.42578125" style="26" customWidth="1"/>
    <col min="4" max="4" width="15.85546875" style="26" customWidth="1"/>
    <col min="5" max="5" width="22.28515625" style="26" customWidth="1"/>
    <col min="6" max="6" width="11.28515625" style="26" customWidth="1"/>
    <col min="7" max="7" width="12.7109375" style="26" customWidth="1"/>
    <col min="8" max="16384" width="8.85546875" style="26"/>
  </cols>
  <sheetData>
    <row r="1" spans="1:25" x14ac:dyDescent="0.25">
      <c r="A1" s="369" t="s">
        <v>0</v>
      </c>
      <c r="B1" s="369"/>
      <c r="D1" s="2"/>
    </row>
    <row r="3" spans="1:25" x14ac:dyDescent="0.25">
      <c r="A3" s="4" t="s">
        <v>1</v>
      </c>
      <c r="B3" s="5" t="s">
        <v>2</v>
      </c>
      <c r="C3" s="250" t="s">
        <v>857</v>
      </c>
      <c r="I3" s="12"/>
      <c r="J3" s="12"/>
      <c r="K3" s="12"/>
      <c r="L3" s="12"/>
      <c r="M3" s="12"/>
      <c r="N3" s="12"/>
      <c r="O3" s="12"/>
      <c r="P3" s="12"/>
      <c r="Q3" s="12"/>
      <c r="R3" s="12"/>
      <c r="S3" s="12"/>
      <c r="T3" s="12"/>
      <c r="U3" s="12"/>
      <c r="V3" s="12"/>
      <c r="W3" s="12"/>
      <c r="X3" s="12"/>
      <c r="Y3" s="12"/>
    </row>
    <row r="4" spans="1:25" x14ac:dyDescent="0.25">
      <c r="D4" s="9"/>
      <c r="F4" s="12"/>
      <c r="G4" s="12"/>
      <c r="H4" s="12"/>
      <c r="I4" s="12"/>
      <c r="J4" s="12"/>
      <c r="K4" s="12"/>
      <c r="L4" s="12"/>
      <c r="M4" s="12"/>
      <c r="N4" s="12"/>
      <c r="O4" s="12"/>
      <c r="P4" s="12"/>
      <c r="Q4" s="12"/>
      <c r="R4" s="12"/>
      <c r="S4" s="12"/>
      <c r="T4" s="12"/>
      <c r="U4" s="12"/>
      <c r="V4" s="12"/>
      <c r="W4" s="12"/>
      <c r="X4" s="12"/>
      <c r="Y4" s="12"/>
    </row>
    <row r="5" spans="1:25" x14ac:dyDescent="0.25">
      <c r="A5" s="10">
        <v>1</v>
      </c>
      <c r="B5" s="11" t="s">
        <v>4</v>
      </c>
      <c r="C5" s="324" t="s">
        <v>759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864</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row>
    <row r="12" spans="1:25" x14ac:dyDescent="0.25">
      <c r="A12" s="13"/>
      <c r="B12" s="382" t="s">
        <v>6</v>
      </c>
      <c r="C12" s="382"/>
      <c r="D12" s="382"/>
      <c r="E12" s="14"/>
    </row>
    <row r="13" spans="1:25" x14ac:dyDescent="0.25">
      <c r="A13" s="13"/>
      <c r="B13" s="15"/>
      <c r="C13" s="12"/>
      <c r="D13" s="9"/>
    </row>
    <row r="14" spans="1:25" x14ac:dyDescent="0.25">
      <c r="A14" s="13">
        <v>4</v>
      </c>
      <c r="B14" s="5" t="s">
        <v>11</v>
      </c>
      <c r="C14" s="250" t="s">
        <v>917</v>
      </c>
      <c r="D14" s="9"/>
    </row>
    <row r="15" spans="1:25" ht="13.5" x14ac:dyDescent="0.25">
      <c r="A15" s="13"/>
      <c r="B15" s="353" t="s">
        <v>13</v>
      </c>
      <c r="C15" s="385"/>
      <c r="D15" s="9"/>
      <c r="F15" s="12"/>
    </row>
    <row r="16" spans="1:25" x14ac:dyDescent="0.25">
      <c r="A16" s="13"/>
      <c r="C16" s="12"/>
      <c r="D16" s="9"/>
    </row>
    <row r="17" spans="1:14" ht="12.75" customHeight="1" x14ac:dyDescent="0.25">
      <c r="A17" s="13">
        <v>5</v>
      </c>
      <c r="B17" s="333" t="s">
        <v>14</v>
      </c>
      <c r="C17" s="372"/>
      <c r="D17" s="372"/>
      <c r="E17" s="372"/>
      <c r="F17" s="15"/>
      <c r="G17" s="15"/>
      <c r="H17" s="15"/>
      <c r="I17" s="15"/>
      <c r="J17" s="17"/>
      <c r="K17" s="17"/>
      <c r="L17" s="17"/>
      <c r="M17" s="17"/>
      <c r="N17" s="17"/>
    </row>
    <row r="18" spans="1:14" x14ac:dyDescent="0.25">
      <c r="A18" s="13"/>
      <c r="B18" s="247" t="s">
        <v>15</v>
      </c>
      <c r="C18" s="373" t="s">
        <v>16</v>
      </c>
      <c r="D18" s="373"/>
      <c r="E18" s="373"/>
      <c r="F18" s="19"/>
      <c r="G18" s="17"/>
      <c r="H18" s="17"/>
      <c r="I18" s="17"/>
      <c r="J18" s="17"/>
      <c r="K18" s="17"/>
      <c r="L18" s="17"/>
      <c r="M18" s="17"/>
      <c r="N18" s="17"/>
    </row>
    <row r="19" spans="1:14" ht="25.5" x14ac:dyDescent="0.25">
      <c r="A19" s="13"/>
      <c r="B19" s="247" t="s">
        <v>865</v>
      </c>
      <c r="C19" s="363" t="s">
        <v>16</v>
      </c>
      <c r="D19" s="363"/>
      <c r="E19" s="363"/>
      <c r="F19" s="19"/>
      <c r="G19" s="17"/>
      <c r="I19" s="17"/>
      <c r="J19" s="17"/>
      <c r="K19" s="17"/>
      <c r="L19" s="17"/>
      <c r="M19" s="17"/>
      <c r="N19" s="17"/>
    </row>
    <row r="20" spans="1:14" x14ac:dyDescent="0.25">
      <c r="A20" s="13"/>
      <c r="B20" s="247" t="s">
        <v>664</v>
      </c>
      <c r="C20" s="363" t="s">
        <v>16</v>
      </c>
      <c r="D20" s="363"/>
      <c r="E20" s="363"/>
      <c r="F20" s="19"/>
      <c r="G20" s="17"/>
      <c r="H20" s="17"/>
      <c r="I20" s="17"/>
      <c r="J20" s="17"/>
      <c r="K20" s="17"/>
      <c r="L20" s="17"/>
      <c r="M20" s="17"/>
      <c r="N20" s="17"/>
    </row>
    <row r="21" spans="1:14" x14ac:dyDescent="0.25">
      <c r="A21" s="13"/>
      <c r="B21" s="247"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ht="12.75" customHeight="1" x14ac:dyDescent="0.25">
      <c r="A23" s="13"/>
      <c r="B23" s="353" t="s">
        <v>769</v>
      </c>
      <c r="C23" s="354"/>
      <c r="D23" s="354"/>
      <c r="E23" s="355"/>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12.75" customHeight="1" x14ac:dyDescent="0.25">
      <c r="A26" s="13">
        <v>6</v>
      </c>
      <c r="B26" s="333" t="s">
        <v>22</v>
      </c>
      <c r="C26" s="333"/>
      <c r="D26" s="333"/>
      <c r="E26" s="333"/>
      <c r="F26" s="15"/>
      <c r="G26" s="15"/>
      <c r="H26" s="17"/>
      <c r="I26" s="15"/>
      <c r="J26" s="15"/>
    </row>
    <row r="27" spans="1:14" x14ac:dyDescent="0.25">
      <c r="A27" s="13"/>
      <c r="B27" s="364" t="s">
        <v>866</v>
      </c>
      <c r="C27" s="365"/>
      <c r="D27" s="365"/>
      <c r="E27" s="366"/>
      <c r="F27" s="19"/>
    </row>
    <row r="28" spans="1:14" x14ac:dyDescent="0.25">
      <c r="A28" s="13"/>
      <c r="B28" s="246" t="s">
        <v>24</v>
      </c>
      <c r="C28" s="245" t="s">
        <v>324</v>
      </c>
      <c r="D28" s="245" t="s">
        <v>325</v>
      </c>
      <c r="E28" s="245" t="s">
        <v>27</v>
      </c>
      <c r="F28" s="19"/>
    </row>
    <row r="29" spans="1:14" ht="12.75" customHeight="1" x14ac:dyDescent="0.25">
      <c r="A29" s="13"/>
      <c r="B29" s="249" t="s">
        <v>28</v>
      </c>
      <c r="C29" s="251">
        <v>5510.88</v>
      </c>
      <c r="D29" s="251">
        <v>4108.37</v>
      </c>
      <c r="E29" s="420" t="s">
        <v>265</v>
      </c>
      <c r="F29" s="19"/>
    </row>
    <row r="30" spans="1:14" x14ac:dyDescent="0.25">
      <c r="A30" s="13"/>
      <c r="B30" s="249" t="s">
        <v>29</v>
      </c>
      <c r="C30" s="251">
        <v>181.52</v>
      </c>
      <c r="D30" s="251">
        <v>-4.76</v>
      </c>
      <c r="E30" s="421"/>
      <c r="F30" s="19"/>
    </row>
    <row r="31" spans="1:14" x14ac:dyDescent="0.25">
      <c r="A31" s="13"/>
      <c r="B31" s="249" t="s">
        <v>30</v>
      </c>
      <c r="C31" s="251">
        <v>616.79</v>
      </c>
      <c r="D31" s="251">
        <v>616.79</v>
      </c>
      <c r="E31" s="421"/>
      <c r="F31" s="19"/>
    </row>
    <row r="32" spans="1:14" x14ac:dyDescent="0.25">
      <c r="A32" s="13"/>
      <c r="B32" s="249" t="s">
        <v>31</v>
      </c>
      <c r="C32" s="251">
        <v>824.51</v>
      </c>
      <c r="D32" s="251">
        <v>819.74</v>
      </c>
      <c r="E32" s="422"/>
      <c r="F32" s="19"/>
    </row>
    <row r="33" spans="1:10" ht="12.75" customHeight="1" x14ac:dyDescent="0.25">
      <c r="A33" s="13"/>
      <c r="B33" s="353" t="s">
        <v>769</v>
      </c>
      <c r="C33" s="354"/>
      <c r="D33" s="354"/>
      <c r="E33" s="355"/>
      <c r="F33" s="19"/>
    </row>
    <row r="34" spans="1:10" x14ac:dyDescent="0.25">
      <c r="A34" s="13"/>
      <c r="B34" s="17"/>
      <c r="C34" s="19"/>
      <c r="D34" s="19"/>
      <c r="E34" s="19"/>
      <c r="F34" s="19"/>
    </row>
    <row r="35" spans="1:10" ht="12.75" customHeight="1" x14ac:dyDescent="0.25">
      <c r="A35" s="13">
        <v>7</v>
      </c>
      <c r="B35" s="333" t="s">
        <v>33</v>
      </c>
      <c r="C35" s="333"/>
      <c r="D35" s="333"/>
      <c r="E35" s="333"/>
      <c r="F35" s="15"/>
      <c r="G35" s="15"/>
      <c r="H35" s="15"/>
      <c r="I35" s="15"/>
      <c r="J35" s="15"/>
    </row>
    <row r="36" spans="1:10" x14ac:dyDescent="0.25">
      <c r="A36" s="13"/>
      <c r="B36" s="246" t="s">
        <v>34</v>
      </c>
      <c r="C36" s="251" t="s">
        <v>245</v>
      </c>
      <c r="D36" s="17"/>
      <c r="E36" s="17"/>
      <c r="F36" s="17"/>
    </row>
    <row r="37" spans="1:10" x14ac:dyDescent="0.25">
      <c r="A37" s="13"/>
      <c r="B37" s="246" t="s">
        <v>36</v>
      </c>
      <c r="C37" s="251" t="s">
        <v>245</v>
      </c>
      <c r="D37" s="17"/>
      <c r="E37" s="17"/>
      <c r="F37" s="17"/>
    </row>
    <row r="38" spans="1:10" x14ac:dyDescent="0.25">
      <c r="A38" s="13"/>
      <c r="B38" s="252" t="s">
        <v>37</v>
      </c>
      <c r="C38" s="255" t="s">
        <v>263</v>
      </c>
      <c r="D38" s="17"/>
      <c r="E38" s="17"/>
      <c r="F38" s="17"/>
    </row>
    <row r="39" spans="1:10" ht="12.75" customHeight="1" x14ac:dyDescent="0.25">
      <c r="A39" s="13"/>
      <c r="B39" s="382" t="s">
        <v>606</v>
      </c>
      <c r="C39" s="382"/>
      <c r="D39" s="17"/>
      <c r="E39" s="17"/>
      <c r="F39" s="17"/>
    </row>
    <row r="40" spans="1:10" x14ac:dyDescent="0.25">
      <c r="A40" s="13"/>
      <c r="B40" s="12"/>
      <c r="C40" s="17"/>
      <c r="D40" s="17"/>
      <c r="E40" s="17"/>
      <c r="F40" s="17"/>
    </row>
    <row r="41" spans="1:10" x14ac:dyDescent="0.25">
      <c r="A41" s="13"/>
      <c r="B41" s="19"/>
      <c r="C41" s="17"/>
      <c r="D41" s="17"/>
      <c r="E41" s="17"/>
      <c r="F41" s="17"/>
    </row>
    <row r="42" spans="1:10" ht="12.75" customHeight="1" x14ac:dyDescent="0.25">
      <c r="A42" s="13">
        <v>8</v>
      </c>
      <c r="B42" s="333" t="s">
        <v>38</v>
      </c>
      <c r="C42" s="333"/>
      <c r="D42" s="333"/>
      <c r="E42" s="333"/>
      <c r="F42" s="15"/>
      <c r="G42" s="15"/>
      <c r="H42" s="15"/>
      <c r="I42" s="15"/>
      <c r="J42" s="15"/>
    </row>
    <row r="43" spans="1:10" ht="12.75" customHeight="1" x14ac:dyDescent="0.25">
      <c r="A43" s="13"/>
      <c r="B43" s="246" t="s">
        <v>39</v>
      </c>
      <c r="C43" s="350" t="s">
        <v>877</v>
      </c>
      <c r="D43" s="351"/>
      <c r="E43" s="352"/>
      <c r="F43" s="17"/>
    </row>
    <row r="44" spans="1:10" x14ac:dyDescent="0.25">
      <c r="A44" s="13"/>
      <c r="B44" s="246" t="s">
        <v>36</v>
      </c>
      <c r="C44" s="350" t="s">
        <v>16</v>
      </c>
      <c r="D44" s="351"/>
      <c r="E44" s="352"/>
      <c r="F44" s="17"/>
    </row>
    <row r="45" spans="1:10" x14ac:dyDescent="0.25">
      <c r="A45" s="13"/>
      <c r="B45" s="246" t="s">
        <v>37</v>
      </c>
      <c r="C45" s="367" t="s">
        <v>263</v>
      </c>
      <c r="D45" s="367"/>
      <c r="E45" s="367"/>
      <c r="F45" s="17"/>
    </row>
    <row r="46" spans="1:10" ht="12.75" customHeight="1" x14ac:dyDescent="0.25">
      <c r="A46" s="13"/>
      <c r="B46" s="353" t="s">
        <v>40</v>
      </c>
      <c r="C46" s="354"/>
      <c r="D46" s="354"/>
      <c r="E46" s="355"/>
      <c r="F46" s="17"/>
    </row>
    <row r="47" spans="1:10" x14ac:dyDescent="0.25">
      <c r="A47" s="4"/>
      <c r="B47" s="12"/>
      <c r="C47" s="12"/>
      <c r="D47" s="28"/>
      <c r="E47" s="17"/>
    </row>
    <row r="48" spans="1:10" ht="12.75" customHeight="1" x14ac:dyDescent="0.25">
      <c r="A48" s="29">
        <v>9</v>
      </c>
      <c r="B48" s="340" t="s">
        <v>41</v>
      </c>
      <c r="C48" s="333"/>
      <c r="D48" s="333"/>
      <c r="E48" s="333"/>
      <c r="F48" s="30"/>
      <c r="G48" s="15"/>
      <c r="H48" s="15"/>
      <c r="I48" s="15"/>
    </row>
    <row r="49" spans="1:14" ht="25.5" x14ac:dyDescent="0.25">
      <c r="A49" s="29"/>
      <c r="B49" s="244" t="s">
        <v>42</v>
      </c>
      <c r="C49" s="32" t="s">
        <v>43</v>
      </c>
      <c r="D49" s="33" t="s">
        <v>44</v>
      </c>
      <c r="E49" s="32" t="s">
        <v>268</v>
      </c>
    </row>
    <row r="50" spans="1:14" ht="51" x14ac:dyDescent="0.25">
      <c r="A50" s="34"/>
      <c r="B50" s="94" t="s">
        <v>369</v>
      </c>
      <c r="C50" s="94" t="s">
        <v>918</v>
      </c>
      <c r="D50" s="148" t="s">
        <v>248</v>
      </c>
      <c r="E50" s="148" t="s">
        <v>248</v>
      </c>
    </row>
    <row r="51" spans="1:14" ht="12.75" customHeight="1" x14ac:dyDescent="0.25">
      <c r="A51" s="36"/>
      <c r="B51" s="345" t="s">
        <v>863</v>
      </c>
      <c r="C51" s="346"/>
      <c r="D51" s="346"/>
      <c r="E51" s="347"/>
      <c r="F51" s="19"/>
      <c r="G51" s="19"/>
      <c r="H51" s="19"/>
    </row>
    <row r="52" spans="1:14" x14ac:dyDescent="0.25">
      <c r="A52" s="37"/>
      <c r="B52" s="75"/>
      <c r="C52" s="28"/>
      <c r="D52" s="28"/>
      <c r="E52" s="28"/>
      <c r="F52" s="19"/>
      <c r="G52" s="19"/>
      <c r="H52" s="19"/>
      <c r="I52" s="19"/>
    </row>
    <row r="53" spans="1:14" ht="12.75" customHeight="1" x14ac:dyDescent="0.25">
      <c r="A53" s="29">
        <v>10</v>
      </c>
      <c r="B53" s="340" t="s">
        <v>41</v>
      </c>
      <c r="C53" s="333"/>
      <c r="D53" s="333"/>
      <c r="E53" s="333"/>
      <c r="F53" s="19"/>
      <c r="G53" s="19"/>
      <c r="H53" s="19"/>
    </row>
    <row r="54" spans="1:14" ht="12.75" customHeight="1" x14ac:dyDescent="0.25">
      <c r="A54" s="34"/>
      <c r="B54" s="357" t="s">
        <v>50</v>
      </c>
      <c r="C54" s="394" t="s">
        <v>919</v>
      </c>
      <c r="D54" s="395"/>
      <c r="E54" s="396"/>
      <c r="K54" s="2"/>
    </row>
    <row r="55" spans="1:14" x14ac:dyDescent="0.25">
      <c r="A55" s="34"/>
      <c r="B55" s="358"/>
      <c r="C55" s="397"/>
      <c r="D55" s="398"/>
      <c r="E55" s="399"/>
      <c r="K55" s="2"/>
    </row>
    <row r="56" spans="1:14" x14ac:dyDescent="0.25">
      <c r="A56" s="29"/>
      <c r="B56" s="39" t="s">
        <v>54</v>
      </c>
      <c r="C56" s="344" t="s">
        <v>248</v>
      </c>
      <c r="D56" s="344"/>
      <c r="E56" s="344"/>
      <c r="K56" s="12"/>
    </row>
    <row r="57" spans="1:14" x14ac:dyDescent="0.25">
      <c r="A57" s="34"/>
      <c r="B57" s="39" t="s">
        <v>55</v>
      </c>
      <c r="C57" s="438" t="s">
        <v>56</v>
      </c>
      <c r="D57" s="439"/>
      <c r="E57" s="440"/>
      <c r="K57" s="40"/>
    </row>
    <row r="58" spans="1:14" ht="12.75" customHeight="1" x14ac:dyDescent="0.25">
      <c r="A58" s="34"/>
      <c r="B58" s="345" t="s">
        <v>863</v>
      </c>
      <c r="C58" s="346"/>
      <c r="D58" s="346"/>
      <c r="E58" s="347"/>
      <c r="K58" s="40"/>
    </row>
    <row r="59" spans="1:14" s="239"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row>
    <row r="61" spans="1:14" ht="12.75" customHeight="1" x14ac:dyDescent="0.25">
      <c r="A61" s="13">
        <v>11</v>
      </c>
      <c r="B61" s="5" t="s">
        <v>59</v>
      </c>
      <c r="C61" s="349" t="s">
        <v>60</v>
      </c>
      <c r="D61" s="349"/>
      <c r="E61" s="349"/>
      <c r="F61" s="15"/>
      <c r="G61" s="15"/>
      <c r="H61" s="51"/>
      <c r="I61" s="15"/>
      <c r="J61" s="15"/>
      <c r="L61" s="12"/>
    </row>
    <row r="62" spans="1:14" x14ac:dyDescent="0.25">
      <c r="A62" s="13"/>
      <c r="B62" s="19"/>
      <c r="C62" s="19"/>
      <c r="D62" s="19"/>
      <c r="E62" s="19"/>
      <c r="F62" s="19"/>
      <c r="G62" s="19"/>
      <c r="H62" s="52"/>
      <c r="I62" s="52"/>
      <c r="J62" s="19"/>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46" t="s">
        <v>62</v>
      </c>
      <c r="C65" s="249" t="s">
        <v>862</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ht="12.75" customHeight="1" x14ac:dyDescent="0.25">
      <c r="A67" s="13"/>
      <c r="B67" s="333" t="s">
        <v>64</v>
      </c>
      <c r="C67" s="372" t="s">
        <v>861</v>
      </c>
      <c r="D67" s="372" t="s">
        <v>333</v>
      </c>
      <c r="E67" s="336" t="s">
        <v>294</v>
      </c>
      <c r="F67" s="327" t="s">
        <v>935</v>
      </c>
      <c r="G67" s="328"/>
      <c r="H67" s="329"/>
      <c r="I67" s="330" t="s">
        <v>934</v>
      </c>
      <c r="J67" s="330"/>
      <c r="K67" s="330"/>
      <c r="L67" s="330" t="s">
        <v>70</v>
      </c>
      <c r="M67" s="330"/>
      <c r="N67" s="330"/>
    </row>
    <row r="68" spans="1:14" ht="38.25" x14ac:dyDescent="0.25">
      <c r="A68" s="4"/>
      <c r="B68" s="333"/>
      <c r="C68" s="335"/>
      <c r="D68" s="335"/>
      <c r="E68" s="337"/>
      <c r="F68" s="246" t="s">
        <v>71</v>
      </c>
      <c r="G68" s="246" t="s">
        <v>72</v>
      </c>
      <c r="H68" s="246" t="s">
        <v>73</v>
      </c>
      <c r="I68" s="246" t="s">
        <v>74</v>
      </c>
      <c r="J68" s="246" t="s">
        <v>72</v>
      </c>
      <c r="K68" s="246" t="s">
        <v>73</v>
      </c>
      <c r="L68" s="246" t="s">
        <v>74</v>
      </c>
      <c r="M68" s="246" t="s">
        <v>72</v>
      </c>
      <c r="N68" s="246" t="s">
        <v>73</v>
      </c>
    </row>
    <row r="69" spans="1:14" x14ac:dyDescent="0.25">
      <c r="A69" s="4"/>
      <c r="B69" s="246" t="s">
        <v>75</v>
      </c>
      <c r="C69" s="131">
        <v>36.049999999999997</v>
      </c>
      <c r="D69" s="53">
        <v>41</v>
      </c>
      <c r="E69" s="53">
        <v>30</v>
      </c>
      <c r="F69" s="53">
        <v>47.55</v>
      </c>
      <c r="G69" s="53">
        <v>81.900000000000006</v>
      </c>
      <c r="H69" s="53">
        <v>30</v>
      </c>
      <c r="I69" s="53">
        <v>75.05</v>
      </c>
      <c r="J69" s="53">
        <v>87.5</v>
      </c>
      <c r="K69" s="53">
        <v>48.25</v>
      </c>
      <c r="L69" s="53" t="s">
        <v>48</v>
      </c>
      <c r="M69" s="53" t="s">
        <v>48</v>
      </c>
      <c r="N69" s="53" t="s">
        <v>48</v>
      </c>
    </row>
    <row r="70" spans="1:14" ht="25.5" x14ac:dyDescent="0.25">
      <c r="A70" s="4"/>
      <c r="B70" s="246" t="s">
        <v>278</v>
      </c>
      <c r="C70" s="131">
        <v>39513.39</v>
      </c>
      <c r="D70" s="131">
        <v>36976.85</v>
      </c>
      <c r="E70" s="53">
        <v>37673.31</v>
      </c>
      <c r="F70" s="53">
        <v>8597.75</v>
      </c>
      <c r="G70" s="53">
        <v>12430.5</v>
      </c>
      <c r="H70" s="53">
        <v>7511.1</v>
      </c>
      <c r="I70" s="53">
        <v>49509.15</v>
      </c>
      <c r="J70" s="53">
        <v>52516.76</v>
      </c>
      <c r="K70" s="53">
        <v>27500.79</v>
      </c>
      <c r="L70" s="53" t="s">
        <v>48</v>
      </c>
      <c r="M70" s="53" t="s">
        <v>48</v>
      </c>
      <c r="N70" s="53" t="s">
        <v>48</v>
      </c>
    </row>
    <row r="71" spans="1:14" ht="13.5" x14ac:dyDescent="0.25">
      <c r="A71" s="4"/>
      <c r="B71" s="383" t="s">
        <v>21</v>
      </c>
      <c r="C71" s="434"/>
      <c r="D71" s="434"/>
      <c r="E71" s="383"/>
      <c r="F71" s="383"/>
      <c r="G71" s="383"/>
      <c r="H71" s="383"/>
      <c r="I71" s="383"/>
      <c r="J71" s="383"/>
      <c r="K71" s="383"/>
      <c r="L71" s="383"/>
      <c r="M71" s="383"/>
      <c r="N71" s="383"/>
    </row>
    <row r="72" spans="1:14" ht="12.75" customHeight="1" x14ac:dyDescent="0.25">
      <c r="A72" s="4"/>
      <c r="B72" s="382" t="s">
        <v>79</v>
      </c>
      <c r="C72" s="382"/>
      <c r="D72" s="382"/>
      <c r="E72" s="382"/>
      <c r="F72" s="382"/>
      <c r="G72" s="382"/>
      <c r="H72" s="382"/>
      <c r="I72" s="382"/>
      <c r="J72" s="382"/>
      <c r="K72" s="382"/>
      <c r="L72" s="382"/>
      <c r="M72" s="382"/>
      <c r="N72" s="382"/>
    </row>
    <row r="73" spans="1:14" s="57" customFormat="1" ht="12.75" customHeight="1" x14ac:dyDescent="0.25">
      <c r="B73" s="382" t="s">
        <v>80</v>
      </c>
      <c r="C73" s="382"/>
      <c r="D73" s="382"/>
      <c r="E73" s="382"/>
      <c r="F73" s="382"/>
      <c r="G73" s="382"/>
      <c r="H73" s="382"/>
      <c r="I73" s="382"/>
      <c r="J73" s="382"/>
      <c r="K73" s="382"/>
      <c r="L73" s="382"/>
      <c r="M73" s="382"/>
      <c r="N73" s="382"/>
    </row>
    <row r="74" spans="1:14" ht="12.75" customHeight="1" x14ac:dyDescent="0.25">
      <c r="A74" s="4"/>
      <c r="B74" s="382" t="s">
        <v>420</v>
      </c>
      <c r="C74" s="382"/>
      <c r="D74" s="382"/>
      <c r="E74" s="382"/>
      <c r="F74" s="382"/>
      <c r="G74" s="382"/>
      <c r="H74" s="382"/>
      <c r="I74" s="382"/>
      <c r="J74" s="382"/>
      <c r="K74" s="382"/>
      <c r="L74" s="382"/>
      <c r="M74" s="382"/>
      <c r="N74" s="382"/>
    </row>
    <row r="75" spans="1:14" ht="12.75" customHeight="1"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ht="12.75" customHeight="1" x14ac:dyDescent="0.25">
      <c r="A77" s="13">
        <v>13</v>
      </c>
      <c r="B77" s="338" t="s">
        <v>83</v>
      </c>
      <c r="C77" s="339"/>
      <c r="D77" s="339"/>
      <c r="E77" s="339"/>
      <c r="F77" s="339"/>
      <c r="G77" s="340"/>
      <c r="H77" s="15"/>
      <c r="I77" s="15"/>
      <c r="J77" s="15"/>
      <c r="K77" s="15"/>
      <c r="L77" s="15"/>
      <c r="M77" s="15"/>
      <c r="N77" s="15"/>
    </row>
    <row r="78" spans="1:14" x14ac:dyDescent="0.25">
      <c r="A78" s="13"/>
      <c r="C78" s="19"/>
      <c r="D78" s="19"/>
      <c r="E78" s="19"/>
      <c r="F78" s="19"/>
      <c r="G78" s="19"/>
      <c r="H78" s="19"/>
      <c r="I78" s="19"/>
      <c r="J78" s="19"/>
      <c r="K78" s="19"/>
      <c r="L78" s="19"/>
      <c r="M78" s="19"/>
      <c r="N78" s="19"/>
    </row>
    <row r="79" spans="1:14" ht="102" x14ac:dyDescent="0.25">
      <c r="A79" s="4"/>
      <c r="B79" s="243" t="s">
        <v>84</v>
      </c>
      <c r="C79" s="245" t="s">
        <v>85</v>
      </c>
      <c r="D79" s="245" t="s">
        <v>86</v>
      </c>
      <c r="E79" s="245" t="s">
        <v>280</v>
      </c>
      <c r="F79" s="245" t="s">
        <v>88</v>
      </c>
      <c r="G79" s="245" t="s">
        <v>169</v>
      </c>
      <c r="H79" s="17"/>
      <c r="I79" s="17"/>
      <c r="J79" s="17"/>
      <c r="K79" s="17"/>
      <c r="L79" s="17"/>
      <c r="M79" s="17"/>
      <c r="N79" s="17"/>
    </row>
    <row r="80" spans="1:14" ht="12.75" customHeight="1" x14ac:dyDescent="0.2">
      <c r="A80" s="4"/>
      <c r="B80" s="316" t="s">
        <v>90</v>
      </c>
      <c r="C80" s="5" t="s">
        <v>860</v>
      </c>
      <c r="D80" s="91">
        <v>3.5</v>
      </c>
      <c r="E80" s="91">
        <v>2.94</v>
      </c>
      <c r="F80" s="93">
        <v>0</v>
      </c>
      <c r="G80" s="412" t="s">
        <v>282</v>
      </c>
      <c r="H80" s="62"/>
      <c r="I80" s="62"/>
      <c r="J80" s="62"/>
      <c r="K80" s="62"/>
      <c r="L80" s="62"/>
      <c r="M80" s="62"/>
      <c r="N80" s="62"/>
    </row>
    <row r="81" spans="1:14" x14ac:dyDescent="0.25">
      <c r="A81" s="4"/>
      <c r="B81" s="316"/>
      <c r="C81" s="5" t="s">
        <v>92</v>
      </c>
      <c r="D81" s="248"/>
      <c r="E81" s="248"/>
      <c r="F81" s="248"/>
      <c r="G81" s="413"/>
      <c r="H81" s="62"/>
      <c r="I81" s="62"/>
      <c r="J81" s="62"/>
      <c r="K81" s="62"/>
      <c r="L81" s="62"/>
      <c r="M81" s="62"/>
      <c r="N81" s="62"/>
    </row>
    <row r="82" spans="1:14" x14ac:dyDescent="0.25">
      <c r="A82" s="4"/>
      <c r="B82" s="316"/>
      <c r="C82" s="25" t="s">
        <v>859</v>
      </c>
      <c r="D82" s="248">
        <v>1.41</v>
      </c>
      <c r="E82" s="248">
        <v>0.03</v>
      </c>
      <c r="F82" s="248">
        <v>0.99</v>
      </c>
      <c r="G82" s="413"/>
      <c r="H82" s="62"/>
      <c r="I82" s="62"/>
      <c r="J82" s="62"/>
      <c r="K82" s="62"/>
      <c r="L82" s="62"/>
      <c r="M82" s="62"/>
      <c r="N82" s="62"/>
    </row>
    <row r="83" spans="1:14" x14ac:dyDescent="0.25">
      <c r="A83" s="4"/>
      <c r="B83" s="316"/>
      <c r="C83" s="5" t="s">
        <v>93</v>
      </c>
      <c r="D83" s="92"/>
      <c r="E83" s="164">
        <v>0.03</v>
      </c>
      <c r="F83" s="164">
        <v>0.99</v>
      </c>
      <c r="G83" s="413"/>
      <c r="H83" s="62"/>
      <c r="I83" s="62"/>
      <c r="J83" s="62"/>
      <c r="K83" s="62"/>
      <c r="L83" s="62"/>
      <c r="M83" s="62"/>
      <c r="N83" s="62"/>
    </row>
    <row r="84" spans="1:14" x14ac:dyDescent="0.2">
      <c r="A84" s="4"/>
      <c r="B84" s="316" t="s">
        <v>94</v>
      </c>
      <c r="C84" s="5" t="s">
        <v>860</v>
      </c>
      <c r="D84" s="91">
        <v>10.29</v>
      </c>
      <c r="E84" s="93">
        <f>F69/E80</f>
        <v>16.173469387755102</v>
      </c>
      <c r="F84" s="93">
        <v>0</v>
      </c>
      <c r="G84" s="413"/>
      <c r="H84" s="62"/>
      <c r="I84" s="62"/>
      <c r="J84" s="62"/>
      <c r="K84" s="62"/>
      <c r="L84" s="62"/>
      <c r="M84" s="62"/>
      <c r="N84" s="62"/>
    </row>
    <row r="85" spans="1:14" x14ac:dyDescent="0.25">
      <c r="A85" s="4"/>
      <c r="B85" s="316"/>
      <c r="C85" s="5" t="s">
        <v>92</v>
      </c>
      <c r="D85" s="248"/>
      <c r="E85" s="248"/>
      <c r="F85" s="248"/>
      <c r="G85" s="413"/>
      <c r="H85" s="62"/>
      <c r="I85" s="62"/>
      <c r="J85" s="62"/>
      <c r="K85" s="62"/>
      <c r="L85" s="62"/>
      <c r="M85" s="62"/>
      <c r="N85" s="62"/>
    </row>
    <row r="86" spans="1:14" x14ac:dyDescent="0.25">
      <c r="A86" s="4"/>
      <c r="B86" s="316"/>
      <c r="C86" s="25" t="s">
        <v>859</v>
      </c>
      <c r="D86" s="248">
        <v>22.77</v>
      </c>
      <c r="E86" s="248">
        <v>1288.3499999999999</v>
      </c>
      <c r="F86" s="248">
        <f>50.05/F82</f>
        <v>50.55555555555555</v>
      </c>
      <c r="G86" s="413"/>
      <c r="H86" s="62"/>
      <c r="I86" s="62"/>
      <c r="J86" s="62"/>
      <c r="K86" s="62"/>
      <c r="L86" s="62"/>
      <c r="M86" s="62"/>
      <c r="N86" s="62"/>
    </row>
    <row r="87" spans="1:14" x14ac:dyDescent="0.25">
      <c r="A87" s="4"/>
      <c r="B87" s="316"/>
      <c r="C87" s="5" t="s">
        <v>93</v>
      </c>
      <c r="D87" s="92"/>
      <c r="E87" s="164">
        <f>SUM(E86)/1</f>
        <v>1288.3499999999999</v>
      </c>
      <c r="F87" s="164">
        <f>F86</f>
        <v>50.55555555555555</v>
      </c>
      <c r="G87" s="413"/>
      <c r="H87" s="62"/>
      <c r="I87" s="62"/>
      <c r="J87" s="62"/>
      <c r="K87" s="62"/>
      <c r="L87" s="62"/>
      <c r="M87" s="62"/>
      <c r="N87" s="62"/>
    </row>
    <row r="88" spans="1:14" x14ac:dyDescent="0.2">
      <c r="A88" s="4"/>
      <c r="B88" s="316" t="s">
        <v>95</v>
      </c>
      <c r="C88" s="5" t="s">
        <v>860</v>
      </c>
      <c r="D88" s="91">
        <v>20.34</v>
      </c>
      <c r="E88" s="93">
        <f>181.52/1441.3*100</f>
        <v>12.594185804482066</v>
      </c>
      <c r="F88" s="93">
        <f>-4.76/1436.53*100</f>
        <v>-0.33135402671715875</v>
      </c>
      <c r="G88" s="413"/>
      <c r="H88" s="62"/>
      <c r="I88" s="62"/>
      <c r="J88" s="62"/>
      <c r="K88" s="62"/>
      <c r="L88" s="62"/>
      <c r="M88" s="62"/>
      <c r="N88" s="62"/>
    </row>
    <row r="89" spans="1:14" x14ac:dyDescent="0.25">
      <c r="A89" s="4"/>
      <c r="B89" s="316"/>
      <c r="C89" s="5" t="s">
        <v>92</v>
      </c>
      <c r="D89" s="248"/>
      <c r="E89" s="248"/>
      <c r="F89" s="248"/>
      <c r="G89" s="413"/>
      <c r="H89" s="62"/>
      <c r="I89" s="62"/>
      <c r="J89" s="62"/>
      <c r="K89" s="62"/>
      <c r="L89" s="62"/>
      <c r="M89" s="62"/>
      <c r="N89" s="62"/>
    </row>
    <row r="90" spans="1:14" x14ac:dyDescent="0.25">
      <c r="A90" s="4"/>
      <c r="B90" s="316"/>
      <c r="C90" s="25" t="s">
        <v>859</v>
      </c>
      <c r="D90" s="248">
        <v>3.87</v>
      </c>
      <c r="E90" s="248">
        <v>0.15</v>
      </c>
      <c r="F90" s="248">
        <v>4.67</v>
      </c>
      <c r="G90" s="413"/>
      <c r="H90" s="62"/>
      <c r="I90" s="62"/>
      <c r="J90" s="62"/>
      <c r="K90" s="62"/>
      <c r="L90" s="62"/>
      <c r="M90" s="62"/>
      <c r="N90" s="62"/>
    </row>
    <row r="91" spans="1:14" x14ac:dyDescent="0.25">
      <c r="A91" s="4"/>
      <c r="B91" s="316"/>
      <c r="C91" s="5" t="s">
        <v>93</v>
      </c>
      <c r="D91" s="92"/>
      <c r="E91" s="164">
        <v>0.15</v>
      </c>
      <c r="F91" s="164">
        <v>4.67</v>
      </c>
      <c r="G91" s="413"/>
      <c r="H91" s="62"/>
      <c r="I91" s="62"/>
      <c r="J91" s="62"/>
      <c r="K91" s="66"/>
      <c r="L91" s="62"/>
      <c r="M91" s="62"/>
      <c r="N91" s="62"/>
    </row>
    <row r="92" spans="1:14" x14ac:dyDescent="0.2">
      <c r="A92" s="4"/>
      <c r="B92" s="316" t="s">
        <v>96</v>
      </c>
      <c r="C92" s="5" t="s">
        <v>860</v>
      </c>
      <c r="D92" s="91">
        <v>136.46</v>
      </c>
      <c r="E92" s="93">
        <f>1441.3/61.679</f>
        <v>23.3677588806563</v>
      </c>
      <c r="F92" s="93">
        <f>1436.53/61.679</f>
        <v>23.290422996481784</v>
      </c>
      <c r="G92" s="413"/>
      <c r="H92" s="62"/>
      <c r="I92" s="62"/>
      <c r="J92" s="62"/>
      <c r="K92" s="62"/>
      <c r="L92" s="62"/>
      <c r="M92" s="62"/>
      <c r="N92" s="62"/>
    </row>
    <row r="93" spans="1:14" x14ac:dyDescent="0.25">
      <c r="A93" s="4"/>
      <c r="B93" s="316"/>
      <c r="C93" s="5" t="s">
        <v>92</v>
      </c>
      <c r="D93" s="248"/>
      <c r="E93" s="248"/>
      <c r="F93" s="248"/>
      <c r="G93" s="413"/>
      <c r="H93" s="62"/>
      <c r="I93" s="62"/>
      <c r="J93" s="62"/>
      <c r="K93" s="62"/>
      <c r="L93" s="62"/>
      <c r="M93" s="62"/>
      <c r="N93" s="62"/>
    </row>
    <row r="94" spans="1:14" x14ac:dyDescent="0.25">
      <c r="A94" s="4"/>
      <c r="B94" s="386"/>
      <c r="C94" s="25" t="s">
        <v>859</v>
      </c>
      <c r="D94" s="248">
        <v>25.83</v>
      </c>
      <c r="E94" s="248">
        <v>20.27</v>
      </c>
      <c r="F94" s="248">
        <v>21.26</v>
      </c>
      <c r="G94" s="413"/>
      <c r="H94" s="62"/>
      <c r="I94" s="62"/>
      <c r="J94" s="62"/>
      <c r="K94" s="62"/>
      <c r="L94" s="62"/>
      <c r="M94" s="62"/>
      <c r="N94" s="62"/>
    </row>
    <row r="95" spans="1:14" x14ac:dyDescent="0.25">
      <c r="A95" s="4"/>
      <c r="B95" s="386"/>
      <c r="C95" s="5" t="s">
        <v>93</v>
      </c>
      <c r="D95" s="92"/>
      <c r="E95" s="164">
        <v>20.27</v>
      </c>
      <c r="F95" s="164">
        <v>21.26</v>
      </c>
      <c r="G95" s="413"/>
      <c r="H95" s="62"/>
      <c r="I95" s="62"/>
      <c r="J95" s="62"/>
      <c r="K95" s="62"/>
      <c r="L95" s="62"/>
      <c r="M95" s="62"/>
      <c r="N95" s="62"/>
    </row>
    <row r="96" spans="1:14" s="57" customFormat="1" x14ac:dyDescent="0.25">
      <c r="B96" s="387"/>
      <c r="C96" s="388"/>
      <c r="D96" s="388"/>
      <c r="E96" s="388"/>
      <c r="F96" s="388"/>
      <c r="G96" s="389"/>
    </row>
    <row r="97" spans="1:14" ht="12.75" customHeight="1" x14ac:dyDescent="0.25">
      <c r="A97" s="4"/>
      <c r="B97" s="376" t="s">
        <v>858</v>
      </c>
      <c r="C97" s="377"/>
      <c r="D97" s="377"/>
      <c r="E97" s="377"/>
      <c r="F97" s="377"/>
      <c r="G97" s="378"/>
      <c r="H97" s="62"/>
      <c r="I97" s="62"/>
      <c r="J97" s="62"/>
      <c r="K97" s="62"/>
      <c r="L97" s="62"/>
      <c r="M97" s="62"/>
      <c r="N97" s="62"/>
    </row>
    <row r="98" spans="1:14" ht="12.75" customHeight="1" x14ac:dyDescent="0.25">
      <c r="A98" s="4"/>
      <c r="B98" s="379" t="s">
        <v>128</v>
      </c>
      <c r="C98" s="380"/>
      <c r="D98" s="380"/>
      <c r="E98" s="380"/>
      <c r="F98" s="380"/>
      <c r="G98" s="381"/>
      <c r="H98" s="62"/>
      <c r="I98" s="62"/>
      <c r="J98" s="62"/>
      <c r="K98" s="62"/>
      <c r="L98" s="62"/>
      <c r="M98" s="62"/>
      <c r="N98" s="62"/>
    </row>
    <row r="99" spans="1:14" x14ac:dyDescent="0.25">
      <c r="A99" s="4"/>
      <c r="B99" s="353"/>
      <c r="C99" s="354"/>
      <c r="D99" s="354"/>
      <c r="E99" s="354"/>
      <c r="F99" s="354"/>
      <c r="G99" s="355"/>
      <c r="H99" s="62"/>
      <c r="I99" s="62"/>
      <c r="J99" s="62"/>
      <c r="K99" s="62"/>
      <c r="L99" s="62"/>
      <c r="M99" s="62"/>
      <c r="N99" s="62"/>
    </row>
    <row r="100" spans="1:14" x14ac:dyDescent="0.25">
      <c r="B100" s="12"/>
      <c r="C100" s="323"/>
      <c r="D100" s="323"/>
      <c r="E100" s="323"/>
      <c r="F100" s="323"/>
      <c r="G100" s="323"/>
      <c r="H100" s="62"/>
      <c r="I100" s="62"/>
    </row>
    <row r="101" spans="1:14" x14ac:dyDescent="0.25">
      <c r="A101" s="13">
        <v>14</v>
      </c>
      <c r="B101" s="70" t="s">
        <v>99</v>
      </c>
      <c r="C101" s="324" t="s">
        <v>48</v>
      </c>
      <c r="D101" s="325"/>
      <c r="E101" s="325"/>
      <c r="F101" s="325"/>
      <c r="G101" s="326"/>
    </row>
    <row r="102" spans="1:14" x14ac:dyDescent="0.25">
      <c r="A102" s="253"/>
      <c r="C102" s="84"/>
      <c r="D102" s="84"/>
      <c r="E102" s="84"/>
      <c r="F102" s="84"/>
      <c r="G102" s="84"/>
    </row>
    <row r="103" spans="1:14" x14ac:dyDescent="0.25">
      <c r="C103" s="84"/>
      <c r="D103" s="84"/>
      <c r="E103" s="84"/>
      <c r="F103" s="84"/>
      <c r="G103" s="84"/>
    </row>
    <row r="105" spans="1:14" ht="12.75" customHeight="1" x14ac:dyDescent="0.25">
      <c r="B105" s="374" t="s">
        <v>878</v>
      </c>
      <c r="C105" s="375"/>
      <c r="D105" s="375"/>
      <c r="E105" s="375"/>
      <c r="F105" s="375"/>
      <c r="G105" s="375"/>
      <c r="H105" s="375"/>
    </row>
    <row r="110" spans="1:14" x14ac:dyDescent="0.25">
      <c r="D110" s="242"/>
      <c r="E110" s="242"/>
    </row>
    <row r="111" spans="1:14" x14ac:dyDescent="0.25">
      <c r="E111" s="242"/>
    </row>
  </sheetData>
  <sheetProtection password="DB00" sheet="1" objects="1" scenarios="1"/>
  <mergeCells count="60">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74:N74"/>
    <mergeCell ref="B75:N75"/>
    <mergeCell ref="B77:G77"/>
    <mergeCell ref="B80:B83"/>
    <mergeCell ref="G80:G95"/>
    <mergeCell ref="B84:B87"/>
    <mergeCell ref="B88:B91"/>
    <mergeCell ref="B92:B95"/>
    <mergeCell ref="B105:H105"/>
    <mergeCell ref="B96:G96"/>
    <mergeCell ref="B97:G97"/>
    <mergeCell ref="B98:G98"/>
    <mergeCell ref="B99:G99"/>
    <mergeCell ref="C100:G100"/>
    <mergeCell ref="C101:G10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7"/>
  <sheetViews>
    <sheetView topLeftCell="B1" workbookViewId="0">
      <selection activeCell="B6" sqref="B6:D6"/>
    </sheetView>
  </sheetViews>
  <sheetFormatPr defaultColWidth="8.85546875" defaultRowHeight="12.75" x14ac:dyDescent="0.25"/>
  <cols>
    <col min="1" max="1" width="8.85546875" style="213"/>
    <col min="2" max="2" width="40.85546875" style="213" customWidth="1"/>
    <col min="3" max="3" width="43.42578125" style="213" customWidth="1"/>
    <col min="4" max="4" width="15.85546875" style="213" customWidth="1"/>
    <col min="5" max="5" width="22.28515625" style="213" customWidth="1"/>
    <col min="6" max="6" width="11.28515625" style="213" customWidth="1"/>
    <col min="7" max="7" width="12.7109375" style="213" customWidth="1"/>
    <col min="8" max="16384" width="8.85546875" style="213"/>
  </cols>
  <sheetData>
    <row r="1" spans="1:50" x14ac:dyDescent="0.25">
      <c r="A1" s="369" t="s">
        <v>0</v>
      </c>
      <c r="B1" s="369"/>
      <c r="C1" s="26"/>
      <c r="D1" s="2"/>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row>
    <row r="2" spans="1:50"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row>
    <row r="3" spans="1:50" x14ac:dyDescent="0.25">
      <c r="A3" s="4" t="s">
        <v>1</v>
      </c>
      <c r="B3" s="5" t="s">
        <v>2</v>
      </c>
      <c r="C3" s="250" t="s">
        <v>818</v>
      </c>
      <c r="D3" s="26"/>
      <c r="E3" s="26"/>
      <c r="F3" s="26"/>
      <c r="G3" s="26"/>
      <c r="H3" s="26"/>
      <c r="I3" s="12"/>
      <c r="J3" s="12"/>
      <c r="K3" s="12"/>
      <c r="L3" s="12"/>
      <c r="M3" s="12"/>
      <c r="N3" s="12"/>
      <c r="O3" s="12"/>
      <c r="P3" s="12"/>
      <c r="Q3" s="12"/>
      <c r="R3" s="12"/>
      <c r="S3" s="12"/>
      <c r="T3" s="12"/>
      <c r="U3" s="12"/>
      <c r="V3" s="12"/>
      <c r="W3" s="12"/>
      <c r="X3" s="12"/>
      <c r="Y3" s="12"/>
      <c r="Z3" s="26"/>
      <c r="AA3" s="26"/>
      <c r="AB3" s="26"/>
      <c r="AC3" s="26"/>
      <c r="AD3" s="26"/>
      <c r="AE3" s="26"/>
      <c r="AF3" s="26"/>
      <c r="AG3" s="26"/>
      <c r="AH3" s="26"/>
      <c r="AI3" s="26"/>
      <c r="AJ3" s="26"/>
      <c r="AK3" s="26"/>
      <c r="AL3" s="26"/>
      <c r="AM3" s="26"/>
      <c r="AN3" s="26"/>
      <c r="AO3" s="26"/>
      <c r="AP3" s="26"/>
      <c r="AQ3" s="26"/>
      <c r="AR3" s="26"/>
      <c r="AS3" s="26"/>
      <c r="AT3" s="26"/>
      <c r="AU3" s="26"/>
      <c r="AV3" s="26"/>
      <c r="AW3" s="26"/>
      <c r="AX3" s="26"/>
    </row>
    <row r="4" spans="1:50" x14ac:dyDescent="0.25">
      <c r="A4" s="26"/>
      <c r="B4" s="26"/>
      <c r="C4" s="26"/>
      <c r="D4" s="9"/>
      <c r="E4" s="26"/>
      <c r="F4" s="12"/>
      <c r="G4" s="12"/>
      <c r="H4" s="12"/>
      <c r="I4" s="12"/>
      <c r="J4" s="12"/>
      <c r="K4" s="12"/>
      <c r="L4" s="12"/>
      <c r="M4" s="12"/>
      <c r="N4" s="12"/>
      <c r="O4" s="12"/>
      <c r="P4" s="12"/>
      <c r="Q4" s="12"/>
      <c r="R4" s="12"/>
      <c r="S4" s="12"/>
      <c r="T4" s="12"/>
      <c r="U4" s="12"/>
      <c r="V4" s="12"/>
      <c r="W4" s="12"/>
      <c r="X4" s="12"/>
      <c r="Y4" s="12"/>
      <c r="Z4" s="26"/>
      <c r="AA4" s="26"/>
      <c r="AB4" s="26"/>
      <c r="AC4" s="26"/>
      <c r="AD4" s="26"/>
      <c r="AE4" s="26"/>
      <c r="AF4" s="26"/>
      <c r="AG4" s="26"/>
      <c r="AH4" s="26"/>
      <c r="AI4" s="26"/>
      <c r="AJ4" s="26"/>
      <c r="AK4" s="26"/>
      <c r="AL4" s="26"/>
      <c r="AM4" s="26"/>
      <c r="AN4" s="26"/>
      <c r="AO4" s="26"/>
      <c r="AP4" s="26"/>
      <c r="AQ4" s="26"/>
      <c r="AR4" s="26"/>
      <c r="AS4" s="26"/>
      <c r="AT4" s="26"/>
      <c r="AU4" s="26"/>
      <c r="AV4" s="26"/>
      <c r="AW4" s="26"/>
      <c r="AX4" s="26"/>
    </row>
    <row r="5" spans="1:50" x14ac:dyDescent="0.25">
      <c r="A5" s="10">
        <v>1</v>
      </c>
      <c r="B5" s="11" t="s">
        <v>4</v>
      </c>
      <c r="C5" s="324" t="s">
        <v>759</v>
      </c>
      <c r="D5" s="325"/>
      <c r="E5" s="370"/>
      <c r="F5" s="12"/>
      <c r="G5" s="12"/>
      <c r="H5" s="12"/>
      <c r="I5" s="12"/>
      <c r="J5" s="12"/>
      <c r="K5" s="12"/>
      <c r="L5" s="12"/>
      <c r="M5" s="12"/>
      <c r="N5" s="12"/>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row>
    <row r="6" spans="1:50" x14ac:dyDescent="0.25">
      <c r="A6" s="13"/>
      <c r="B6" s="382" t="s">
        <v>6</v>
      </c>
      <c r="C6" s="382"/>
      <c r="D6" s="382"/>
      <c r="E6" s="14"/>
      <c r="F6" s="12"/>
      <c r="G6" s="12"/>
      <c r="H6" s="12"/>
      <c r="I6" s="12"/>
      <c r="J6" s="12"/>
      <c r="K6" s="12"/>
      <c r="L6" s="12"/>
      <c r="M6" s="12"/>
      <c r="N6" s="12"/>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row>
    <row r="7" spans="1:50" x14ac:dyDescent="0.25">
      <c r="A7" s="13"/>
      <c r="B7" s="15"/>
      <c r="C7" s="12"/>
      <c r="D7" s="9"/>
      <c r="E7" s="12"/>
      <c r="F7" s="12"/>
      <c r="G7" s="12"/>
      <c r="H7" s="12"/>
      <c r="I7" s="12"/>
      <c r="J7" s="12"/>
      <c r="K7" s="12"/>
      <c r="L7" s="12"/>
      <c r="M7" s="12"/>
      <c r="N7" s="1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row>
    <row r="8" spans="1:50" x14ac:dyDescent="0.25">
      <c r="A8" s="13">
        <v>2</v>
      </c>
      <c r="B8" s="11" t="s">
        <v>7</v>
      </c>
      <c r="C8" s="16" t="s">
        <v>848</v>
      </c>
      <c r="D8" s="9"/>
      <c r="E8" s="12"/>
      <c r="F8" s="12"/>
      <c r="G8" s="12"/>
      <c r="H8" s="12"/>
      <c r="I8" s="12"/>
      <c r="J8" s="12"/>
      <c r="K8" s="12"/>
      <c r="L8" s="12"/>
      <c r="M8" s="12"/>
      <c r="N8" s="12"/>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0" x14ac:dyDescent="0.25">
      <c r="A9" s="13"/>
      <c r="B9" s="400" t="s">
        <v>6</v>
      </c>
      <c r="C9" s="401"/>
      <c r="D9" s="402"/>
      <c r="E9" s="12"/>
      <c r="F9" s="12"/>
      <c r="G9" s="12"/>
      <c r="H9" s="12"/>
      <c r="I9" s="12"/>
      <c r="J9" s="12"/>
      <c r="K9" s="12"/>
      <c r="L9" s="12"/>
      <c r="M9" s="12"/>
      <c r="N9" s="12"/>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row>
    <row r="10" spans="1:50" x14ac:dyDescent="0.25">
      <c r="A10" s="13"/>
      <c r="B10" s="15"/>
      <c r="C10" s="12"/>
      <c r="D10" s="9"/>
      <c r="E10" s="12"/>
      <c r="F10" s="12"/>
      <c r="G10" s="12"/>
      <c r="H10" s="12"/>
      <c r="I10" s="12"/>
      <c r="J10" s="12"/>
      <c r="K10" s="12"/>
      <c r="L10" s="12"/>
      <c r="M10" s="12"/>
      <c r="N10" s="12"/>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0" ht="25.5" x14ac:dyDescent="0.25">
      <c r="A11" s="13">
        <v>3</v>
      </c>
      <c r="B11" s="11" t="s">
        <v>9</v>
      </c>
      <c r="C11" s="324" t="s">
        <v>10</v>
      </c>
      <c r="D11" s="325"/>
      <c r="E11" s="370"/>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0" x14ac:dyDescent="0.25">
      <c r="A12" s="13"/>
      <c r="B12" s="382" t="s">
        <v>6</v>
      </c>
      <c r="C12" s="382"/>
      <c r="D12" s="382"/>
      <c r="E12" s="14"/>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0" x14ac:dyDescent="0.25">
      <c r="A13" s="13"/>
      <c r="B13" s="15"/>
      <c r="C13" s="12"/>
      <c r="D13" s="9"/>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row>
    <row r="14" spans="1:50" x14ac:dyDescent="0.25">
      <c r="A14" s="13">
        <v>4</v>
      </c>
      <c r="B14" s="5" t="s">
        <v>11</v>
      </c>
      <c r="C14" s="250" t="s">
        <v>920</v>
      </c>
      <c r="D14" s="9"/>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row>
    <row r="15" spans="1:50" ht="13.5" x14ac:dyDescent="0.25">
      <c r="A15" s="13"/>
      <c r="B15" s="353" t="s">
        <v>13</v>
      </c>
      <c r="C15" s="385"/>
      <c r="D15" s="9"/>
      <c r="E15" s="26"/>
      <c r="F15" s="12"/>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0" x14ac:dyDescent="0.25">
      <c r="A16" s="13"/>
      <c r="B16" s="26"/>
      <c r="C16" s="12"/>
      <c r="D16" s="9"/>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0" x14ac:dyDescent="0.25">
      <c r="A17" s="13">
        <v>5</v>
      </c>
      <c r="B17" s="333" t="s">
        <v>14</v>
      </c>
      <c r="C17" s="372"/>
      <c r="D17" s="372"/>
      <c r="E17" s="372"/>
      <c r="F17" s="15"/>
      <c r="G17" s="15"/>
      <c r="H17" s="15"/>
      <c r="I17" s="15"/>
      <c r="J17" s="17"/>
      <c r="K17" s="17"/>
      <c r="L17" s="17"/>
      <c r="M17" s="17"/>
      <c r="N17" s="17"/>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0" x14ac:dyDescent="0.25">
      <c r="A18" s="13"/>
      <c r="B18" s="247" t="s">
        <v>15</v>
      </c>
      <c r="C18" s="373" t="s">
        <v>16</v>
      </c>
      <c r="D18" s="373"/>
      <c r="E18" s="373"/>
      <c r="F18" s="19"/>
      <c r="G18" s="17"/>
      <c r="H18" s="17"/>
      <c r="I18" s="17"/>
      <c r="J18" s="17"/>
      <c r="K18" s="17"/>
      <c r="L18" s="17"/>
      <c r="M18" s="17"/>
      <c r="N18" s="17"/>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row>
    <row r="19" spans="1:50" ht="25.5" x14ac:dyDescent="0.25">
      <c r="A19" s="13"/>
      <c r="B19" s="247" t="s">
        <v>765</v>
      </c>
      <c r="C19" s="363" t="s">
        <v>16</v>
      </c>
      <c r="D19" s="363"/>
      <c r="E19" s="363"/>
      <c r="F19" s="19"/>
      <c r="G19" s="17"/>
      <c r="H19" s="26"/>
      <c r="I19" s="17"/>
      <c r="J19" s="17"/>
      <c r="K19" s="17"/>
      <c r="L19" s="17"/>
      <c r="M19" s="17"/>
      <c r="N19" s="17"/>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0" x14ac:dyDescent="0.25">
      <c r="A20" s="13"/>
      <c r="B20" s="247" t="s">
        <v>664</v>
      </c>
      <c r="C20" s="363" t="s">
        <v>16</v>
      </c>
      <c r="D20" s="363"/>
      <c r="E20" s="363"/>
      <c r="F20" s="19"/>
      <c r="G20" s="17"/>
      <c r="H20" s="17"/>
      <c r="I20" s="17"/>
      <c r="J20" s="17"/>
      <c r="K20" s="17"/>
      <c r="L20" s="17"/>
      <c r="M20" s="17"/>
      <c r="N20" s="17"/>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0" x14ac:dyDescent="0.25">
      <c r="A21" s="13"/>
      <c r="B21" s="247" t="s">
        <v>19</v>
      </c>
      <c r="C21" s="363" t="s">
        <v>16</v>
      </c>
      <c r="D21" s="363"/>
      <c r="E21" s="363"/>
      <c r="F21" s="19"/>
      <c r="G21" s="17"/>
      <c r="H21" s="17"/>
      <c r="I21" s="17"/>
      <c r="J21" s="17"/>
      <c r="K21" s="17"/>
      <c r="L21" s="17"/>
      <c r="M21" s="17"/>
      <c r="N21" s="17"/>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x14ac:dyDescent="0.25">
      <c r="A22" s="13"/>
      <c r="B22" s="20" t="s">
        <v>20</v>
      </c>
      <c r="C22" s="426" t="s">
        <v>263</v>
      </c>
      <c r="D22" s="426"/>
      <c r="E22" s="426"/>
      <c r="F22" s="19"/>
      <c r="G22" s="17"/>
      <c r="H22" s="17"/>
      <c r="I22" s="17"/>
      <c r="J22" s="17"/>
      <c r="K22" s="17"/>
      <c r="L22" s="17"/>
      <c r="M22" s="17"/>
      <c r="N22" s="17"/>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0" x14ac:dyDescent="0.25">
      <c r="A23" s="13"/>
      <c r="B23" s="353" t="s">
        <v>769</v>
      </c>
      <c r="C23" s="354"/>
      <c r="D23" s="354"/>
      <c r="E23" s="355"/>
      <c r="F23" s="19"/>
      <c r="G23" s="17"/>
      <c r="H23" s="17"/>
      <c r="I23" s="17"/>
      <c r="J23" s="17"/>
      <c r="K23" s="17"/>
      <c r="L23" s="17"/>
      <c r="M23" s="17"/>
      <c r="N23" s="17"/>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0" x14ac:dyDescent="0.25">
      <c r="A24" s="13"/>
      <c r="B24" s="26"/>
      <c r="C24" s="17"/>
      <c r="D24" s="17"/>
      <c r="E24" s="17"/>
      <c r="F24" s="19"/>
      <c r="G24" s="17"/>
      <c r="H24" s="17"/>
      <c r="I24" s="17"/>
      <c r="J24" s="17"/>
      <c r="K24" s="17"/>
      <c r="L24" s="17"/>
      <c r="M24" s="17"/>
      <c r="N24" s="17"/>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1:50" x14ac:dyDescent="0.25">
      <c r="A25" s="13"/>
      <c r="B25" s="19"/>
      <c r="C25" s="19"/>
      <c r="D25" s="19"/>
      <c r="E25" s="19"/>
      <c r="F25" s="19"/>
      <c r="G25" s="17"/>
      <c r="H25" s="17"/>
      <c r="I25" s="17"/>
      <c r="J25" s="17"/>
      <c r="K25" s="17"/>
      <c r="L25" s="17"/>
      <c r="M25" s="17"/>
      <c r="N25" s="17"/>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1:50" x14ac:dyDescent="0.25">
      <c r="A26" s="13">
        <v>6</v>
      </c>
      <c r="B26" s="333" t="s">
        <v>22</v>
      </c>
      <c r="C26" s="333"/>
      <c r="D26" s="333"/>
      <c r="E26" s="333"/>
      <c r="F26" s="15"/>
      <c r="G26" s="15"/>
      <c r="H26" s="17"/>
      <c r="I26" s="15"/>
      <c r="J26" s="15"/>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50" x14ac:dyDescent="0.25">
      <c r="A27" s="13"/>
      <c r="B27" s="364" t="s">
        <v>23</v>
      </c>
      <c r="C27" s="365"/>
      <c r="D27" s="365"/>
      <c r="E27" s="366"/>
      <c r="F27" s="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row>
    <row r="28" spans="1:50" x14ac:dyDescent="0.25">
      <c r="A28" s="13"/>
      <c r="B28" s="246" t="s">
        <v>24</v>
      </c>
      <c r="C28" s="245" t="s">
        <v>324</v>
      </c>
      <c r="D28" s="245" t="s">
        <v>325</v>
      </c>
      <c r="E28" s="245" t="s">
        <v>27</v>
      </c>
      <c r="F28" s="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ht="13.15" customHeight="1" x14ac:dyDescent="0.25">
      <c r="A29" s="13"/>
      <c r="B29" s="249" t="s">
        <v>28</v>
      </c>
      <c r="C29" s="251">
        <v>764.54</v>
      </c>
      <c r="D29" s="251">
        <v>1045.5</v>
      </c>
      <c r="E29" s="420" t="s">
        <v>265</v>
      </c>
      <c r="F29" s="19"/>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row>
    <row r="30" spans="1:50" x14ac:dyDescent="0.25">
      <c r="A30" s="13"/>
      <c r="B30" s="249" t="s">
        <v>29</v>
      </c>
      <c r="C30" s="251">
        <v>112.69</v>
      </c>
      <c r="D30" s="251">
        <v>201.72</v>
      </c>
      <c r="E30" s="421"/>
      <c r="F30" s="1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row>
    <row r="31" spans="1:50" x14ac:dyDescent="0.25">
      <c r="A31" s="13"/>
      <c r="B31" s="249" t="s">
        <v>30</v>
      </c>
      <c r="C31" s="251">
        <v>470.07</v>
      </c>
      <c r="D31" s="251">
        <v>470.07</v>
      </c>
      <c r="E31" s="421"/>
      <c r="F31" s="19"/>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2" spans="1:50" x14ac:dyDescent="0.25">
      <c r="A32" s="13"/>
      <c r="B32" s="249" t="s">
        <v>31</v>
      </c>
      <c r="C32" s="251">
        <v>293.8</v>
      </c>
      <c r="D32" s="251">
        <v>495.52</v>
      </c>
      <c r="E32" s="422"/>
      <c r="F32" s="19"/>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row>
    <row r="33" spans="1:50" x14ac:dyDescent="0.25">
      <c r="A33" s="13"/>
      <c r="B33" s="353" t="s">
        <v>769</v>
      </c>
      <c r="C33" s="354"/>
      <c r="D33" s="354"/>
      <c r="E33" s="355"/>
      <c r="F33" s="19"/>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row>
    <row r="34" spans="1:50" x14ac:dyDescent="0.25">
      <c r="A34" s="13"/>
      <c r="B34" s="17"/>
      <c r="C34" s="19"/>
      <c r="D34" s="19"/>
      <c r="E34" s="19"/>
      <c r="F34" s="1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1:50" x14ac:dyDescent="0.25">
      <c r="A35" s="13">
        <v>7</v>
      </c>
      <c r="B35" s="333" t="s">
        <v>33</v>
      </c>
      <c r="C35" s="333"/>
      <c r="D35" s="333"/>
      <c r="E35" s="333"/>
      <c r="F35" s="15"/>
      <c r="G35" s="15"/>
      <c r="H35" s="15"/>
      <c r="I35" s="15"/>
      <c r="J35" s="15"/>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1:50" x14ac:dyDescent="0.25">
      <c r="A36" s="13"/>
      <c r="B36" s="246" t="s">
        <v>34</v>
      </c>
      <c r="C36" s="251" t="s">
        <v>245</v>
      </c>
      <c r="D36" s="17"/>
      <c r="E36" s="17"/>
      <c r="F36" s="1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50" x14ac:dyDescent="0.25">
      <c r="A37" s="13"/>
      <c r="B37" s="246" t="s">
        <v>36</v>
      </c>
      <c r="C37" s="251" t="s">
        <v>245</v>
      </c>
      <c r="D37" s="17"/>
      <c r="E37" s="17"/>
      <c r="F37" s="17"/>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x14ac:dyDescent="0.25">
      <c r="A38" s="13"/>
      <c r="B38" s="252" t="s">
        <v>37</v>
      </c>
      <c r="C38" s="255" t="s">
        <v>263</v>
      </c>
      <c r="D38" s="17"/>
      <c r="E38" s="17"/>
      <c r="F38" s="17"/>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x14ac:dyDescent="0.25">
      <c r="A39" s="13"/>
      <c r="B39" s="382" t="s">
        <v>606</v>
      </c>
      <c r="C39" s="382"/>
      <c r="D39" s="17"/>
      <c r="E39" s="17"/>
      <c r="F39" s="17"/>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x14ac:dyDescent="0.25">
      <c r="A40" s="13"/>
      <c r="B40" s="12"/>
      <c r="C40" s="17"/>
      <c r="D40" s="17"/>
      <c r="E40" s="17"/>
      <c r="F40" s="17"/>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50" x14ac:dyDescent="0.25">
      <c r="A41" s="13"/>
      <c r="B41" s="19"/>
      <c r="C41" s="17"/>
      <c r="D41" s="17"/>
      <c r="E41" s="17"/>
      <c r="F41" s="17"/>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50" x14ac:dyDescent="0.25">
      <c r="A42" s="13">
        <v>8</v>
      </c>
      <c r="B42" s="333" t="s">
        <v>38</v>
      </c>
      <c r="C42" s="333"/>
      <c r="D42" s="333"/>
      <c r="E42" s="333"/>
      <c r="F42" s="15"/>
      <c r="G42" s="15"/>
      <c r="H42" s="15"/>
      <c r="I42" s="15"/>
      <c r="J42" s="15"/>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row>
    <row r="43" spans="1:50" x14ac:dyDescent="0.25">
      <c r="A43" s="13"/>
      <c r="B43" s="246" t="s">
        <v>39</v>
      </c>
      <c r="C43" s="350" t="s">
        <v>792</v>
      </c>
      <c r="D43" s="351"/>
      <c r="E43" s="352"/>
      <c r="F43" s="17"/>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row>
    <row r="44" spans="1:50" x14ac:dyDescent="0.25">
      <c r="A44" s="13"/>
      <c r="B44" s="246" t="s">
        <v>36</v>
      </c>
      <c r="C44" s="350" t="s">
        <v>792</v>
      </c>
      <c r="D44" s="351"/>
      <c r="E44" s="352"/>
      <c r="F44" s="17"/>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row>
    <row r="45" spans="1:50" x14ac:dyDescent="0.25">
      <c r="A45" s="13"/>
      <c r="B45" s="246" t="s">
        <v>37</v>
      </c>
      <c r="C45" s="367" t="s">
        <v>263</v>
      </c>
      <c r="D45" s="367"/>
      <c r="E45" s="367"/>
      <c r="F45" s="17"/>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1:50" x14ac:dyDescent="0.25">
      <c r="A46" s="13"/>
      <c r="B46" s="353" t="s">
        <v>40</v>
      </c>
      <c r="C46" s="354"/>
      <c r="D46" s="354"/>
      <c r="E46" s="355"/>
      <c r="F46" s="17"/>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50" x14ac:dyDescent="0.25">
      <c r="A47" s="4"/>
      <c r="B47" s="12"/>
      <c r="C47" s="12"/>
      <c r="D47" s="28"/>
      <c r="E47" s="17"/>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1:50" x14ac:dyDescent="0.25">
      <c r="A48" s="29">
        <v>9</v>
      </c>
      <c r="B48" s="340" t="s">
        <v>41</v>
      </c>
      <c r="C48" s="333"/>
      <c r="D48" s="333"/>
      <c r="E48" s="333"/>
      <c r="F48" s="30"/>
      <c r="G48" s="15"/>
      <c r="H48" s="15"/>
      <c r="I48" s="1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1:50" ht="25.5" x14ac:dyDescent="0.25">
      <c r="A49" s="29"/>
      <c r="B49" s="244" t="s">
        <v>42</v>
      </c>
      <c r="C49" s="32" t="s">
        <v>43</v>
      </c>
      <c r="D49" s="33" t="s">
        <v>44</v>
      </c>
      <c r="E49" s="32" t="s">
        <v>268</v>
      </c>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row>
    <row r="50" spans="1:50" ht="102" x14ac:dyDescent="0.25">
      <c r="A50" s="34"/>
      <c r="B50" s="94" t="s">
        <v>921</v>
      </c>
      <c r="C50" s="94" t="s">
        <v>922</v>
      </c>
      <c r="D50" s="148" t="s">
        <v>248</v>
      </c>
      <c r="E50" s="148" t="s">
        <v>248</v>
      </c>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1:50" x14ac:dyDescent="0.25">
      <c r="A51" s="36"/>
      <c r="B51" s="345" t="s">
        <v>856</v>
      </c>
      <c r="C51" s="346"/>
      <c r="D51" s="346"/>
      <c r="E51" s="347"/>
      <c r="F51" s="19"/>
      <c r="G51" s="19"/>
      <c r="H51" s="19"/>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1:50" x14ac:dyDescent="0.25">
      <c r="A52" s="37"/>
      <c r="B52" s="75"/>
      <c r="C52" s="28"/>
      <c r="D52" s="28"/>
      <c r="E52" s="28"/>
      <c r="F52" s="19"/>
      <c r="G52" s="19"/>
      <c r="H52" s="19"/>
      <c r="I52" s="19"/>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1:50" x14ac:dyDescent="0.25">
      <c r="A53" s="29">
        <v>10</v>
      </c>
      <c r="B53" s="340" t="s">
        <v>41</v>
      </c>
      <c r="C53" s="333"/>
      <c r="D53" s="333"/>
      <c r="E53" s="333"/>
      <c r="F53" s="19"/>
      <c r="G53" s="19"/>
      <c r="H53" s="19"/>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ht="24" customHeight="1" x14ac:dyDescent="0.25">
      <c r="A54" s="34"/>
      <c r="B54" s="357" t="s">
        <v>50</v>
      </c>
      <c r="C54" s="394" t="s">
        <v>923</v>
      </c>
      <c r="D54" s="395"/>
      <c r="E54" s="396"/>
      <c r="F54" s="26"/>
      <c r="G54" s="26"/>
      <c r="H54" s="26"/>
      <c r="I54" s="26"/>
      <c r="J54" s="26"/>
      <c r="K54" s="2"/>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1:50" ht="42" customHeight="1" x14ac:dyDescent="0.25">
      <c r="A55" s="34"/>
      <c r="B55" s="358"/>
      <c r="C55" s="397"/>
      <c r="D55" s="398"/>
      <c r="E55" s="399"/>
      <c r="F55" s="26"/>
      <c r="G55" s="26"/>
      <c r="H55" s="26"/>
      <c r="I55" s="26"/>
      <c r="J55" s="26"/>
      <c r="K55" s="2"/>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1:50" x14ac:dyDescent="0.25">
      <c r="A56" s="29"/>
      <c r="B56" s="39" t="s">
        <v>54</v>
      </c>
      <c r="C56" s="344" t="s">
        <v>248</v>
      </c>
      <c r="D56" s="344"/>
      <c r="E56" s="344"/>
      <c r="F56" s="26"/>
      <c r="G56" s="26"/>
      <c r="H56" s="26"/>
      <c r="I56" s="26"/>
      <c r="J56" s="26"/>
      <c r="K56" s="12"/>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1:50" x14ac:dyDescent="0.25">
      <c r="A57" s="34"/>
      <c r="B57" s="39" t="s">
        <v>55</v>
      </c>
      <c r="C57" s="438" t="s">
        <v>56</v>
      </c>
      <c r="D57" s="439"/>
      <c r="E57" s="440"/>
      <c r="F57" s="26"/>
      <c r="G57" s="26"/>
      <c r="H57" s="26"/>
      <c r="I57" s="26"/>
      <c r="J57" s="26"/>
      <c r="K57" s="4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row>
    <row r="58" spans="1:50" x14ac:dyDescent="0.25">
      <c r="A58" s="34"/>
      <c r="B58" s="345" t="s">
        <v>856</v>
      </c>
      <c r="C58" s="346"/>
      <c r="D58" s="346"/>
      <c r="E58" s="347"/>
      <c r="F58" s="26"/>
      <c r="G58" s="26"/>
      <c r="H58" s="26"/>
      <c r="I58" s="26"/>
      <c r="J58" s="26"/>
      <c r="K58" s="4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1:50" s="214" customFormat="1" x14ac:dyDescent="0.2">
      <c r="A59" s="41" t="s">
        <v>57</v>
      </c>
      <c r="B59" s="384" t="s">
        <v>58</v>
      </c>
      <c r="C59" s="384"/>
      <c r="D59" s="384"/>
      <c r="E59" s="384"/>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row>
    <row r="60" spans="1:50" x14ac:dyDescent="0.25">
      <c r="A60" s="48"/>
      <c r="B60" s="49"/>
      <c r="C60" s="50"/>
      <c r="D60" s="50"/>
      <c r="E60" s="50"/>
      <c r="F60" s="50"/>
      <c r="G60" s="12"/>
      <c r="H60" s="12"/>
      <c r="I60" s="12"/>
      <c r="J60" s="12"/>
      <c r="K60" s="12"/>
      <c r="L60" s="12"/>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50" x14ac:dyDescent="0.25">
      <c r="A61" s="13">
        <v>11</v>
      </c>
      <c r="B61" s="5" t="s">
        <v>59</v>
      </c>
      <c r="C61" s="349" t="s">
        <v>60</v>
      </c>
      <c r="D61" s="349"/>
      <c r="E61" s="349"/>
      <c r="F61" s="15"/>
      <c r="G61" s="15"/>
      <c r="H61" s="51"/>
      <c r="I61" s="15"/>
      <c r="J61" s="15"/>
      <c r="K61" s="26"/>
      <c r="L61" s="12"/>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1:50" x14ac:dyDescent="0.25">
      <c r="A62" s="13"/>
      <c r="B62" s="19"/>
      <c r="C62" s="19"/>
      <c r="D62" s="19"/>
      <c r="E62" s="19"/>
      <c r="F62" s="19"/>
      <c r="G62" s="19"/>
      <c r="H62" s="52"/>
      <c r="I62" s="52"/>
      <c r="J62" s="19"/>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1:50" x14ac:dyDescent="0.25">
      <c r="A63" s="13">
        <v>12</v>
      </c>
      <c r="B63" s="15" t="s">
        <v>61</v>
      </c>
      <c r="C63" s="15"/>
      <c r="D63" s="15"/>
      <c r="E63" s="51"/>
      <c r="F63" s="51"/>
      <c r="G63" s="15"/>
      <c r="H63" s="15"/>
      <c r="I63" s="15"/>
      <c r="J63" s="15"/>
      <c r="K63" s="15"/>
      <c r="L63" s="15"/>
      <c r="M63" s="15"/>
      <c r="N63" s="15"/>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1:50" x14ac:dyDescent="0.25">
      <c r="A64" s="13"/>
      <c r="B64" s="15"/>
      <c r="C64" s="15"/>
      <c r="D64" s="15"/>
      <c r="E64" s="51"/>
      <c r="F64" s="51"/>
      <c r="G64" s="51"/>
      <c r="H64" s="15"/>
      <c r="I64" s="15"/>
      <c r="J64" s="15"/>
      <c r="K64" s="15"/>
      <c r="L64" s="15"/>
      <c r="M64" s="15"/>
      <c r="N64" s="15"/>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1:50" x14ac:dyDescent="0.25">
      <c r="A65" s="13"/>
      <c r="B65" s="246" t="s">
        <v>62</v>
      </c>
      <c r="C65" s="249" t="s">
        <v>855</v>
      </c>
      <c r="D65" s="19"/>
      <c r="E65" s="19"/>
      <c r="F65" s="52"/>
      <c r="G65" s="52"/>
      <c r="H65" s="19"/>
      <c r="I65" s="19"/>
      <c r="J65" s="19"/>
      <c r="K65" s="19"/>
      <c r="L65" s="19"/>
      <c r="M65" s="19"/>
      <c r="N65" s="19"/>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1:50" x14ac:dyDescent="0.25">
      <c r="A66" s="13"/>
      <c r="B66" s="19"/>
      <c r="C66" s="19"/>
      <c r="D66" s="19"/>
      <c r="E66" s="19"/>
      <c r="F66" s="19"/>
      <c r="G66" s="19"/>
      <c r="H66" s="19"/>
      <c r="I66" s="19"/>
      <c r="J66" s="19"/>
      <c r="K66" s="19"/>
      <c r="L66" s="19"/>
      <c r="M66" s="19"/>
      <c r="N66" s="19"/>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1:50" x14ac:dyDescent="0.25">
      <c r="A67" s="13"/>
      <c r="B67" s="333" t="s">
        <v>64</v>
      </c>
      <c r="C67" s="372" t="s">
        <v>854</v>
      </c>
      <c r="D67" s="372" t="s">
        <v>333</v>
      </c>
      <c r="E67" s="336" t="s">
        <v>294</v>
      </c>
      <c r="F67" s="327" t="s">
        <v>933</v>
      </c>
      <c r="G67" s="328"/>
      <c r="H67" s="329"/>
      <c r="I67" s="330" t="s">
        <v>934</v>
      </c>
      <c r="J67" s="330"/>
      <c r="K67" s="330"/>
      <c r="L67" s="330" t="s">
        <v>70</v>
      </c>
      <c r="M67" s="330"/>
      <c r="N67" s="330"/>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1:50" ht="38.25" x14ac:dyDescent="0.25">
      <c r="A68" s="4"/>
      <c r="B68" s="333"/>
      <c r="C68" s="335"/>
      <c r="D68" s="335"/>
      <c r="E68" s="337"/>
      <c r="F68" s="246" t="s">
        <v>71</v>
      </c>
      <c r="G68" s="246" t="s">
        <v>72</v>
      </c>
      <c r="H68" s="246" t="s">
        <v>73</v>
      </c>
      <c r="I68" s="246" t="s">
        <v>74</v>
      </c>
      <c r="J68" s="246" t="s">
        <v>72</v>
      </c>
      <c r="K68" s="246" t="s">
        <v>73</v>
      </c>
      <c r="L68" s="246" t="s">
        <v>74</v>
      </c>
      <c r="M68" s="246" t="s">
        <v>72</v>
      </c>
      <c r="N68" s="246" t="s">
        <v>73</v>
      </c>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1:50" x14ac:dyDescent="0.25">
      <c r="A69" s="4"/>
      <c r="B69" s="246" t="s">
        <v>75</v>
      </c>
      <c r="C69" s="131">
        <v>22</v>
      </c>
      <c r="D69" s="53">
        <v>14</v>
      </c>
      <c r="E69" s="53">
        <v>13.2</v>
      </c>
      <c r="F69" s="53">
        <v>13.2</v>
      </c>
      <c r="G69" s="53">
        <v>22.05</v>
      </c>
      <c r="H69" s="53">
        <v>12.05</v>
      </c>
      <c r="I69" s="53">
        <v>13.5</v>
      </c>
      <c r="J69" s="53">
        <v>29</v>
      </c>
      <c r="K69" s="53">
        <v>13</v>
      </c>
      <c r="L69" s="53" t="s">
        <v>48</v>
      </c>
      <c r="M69" s="53" t="s">
        <v>48</v>
      </c>
      <c r="N69" s="53" t="s">
        <v>48</v>
      </c>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1:50" ht="25.5" x14ac:dyDescent="0.25">
      <c r="A70" s="4"/>
      <c r="B70" s="246" t="s">
        <v>278</v>
      </c>
      <c r="C70" s="131">
        <v>41859.69</v>
      </c>
      <c r="D70" s="131">
        <v>41565.9</v>
      </c>
      <c r="E70" s="53">
        <v>31159.62</v>
      </c>
      <c r="F70" s="53">
        <v>29468.49</v>
      </c>
      <c r="G70" s="53">
        <v>29770.880000000001</v>
      </c>
      <c r="H70" s="53">
        <v>28667.360000000001</v>
      </c>
      <c r="I70" s="53">
        <v>49509.15</v>
      </c>
      <c r="J70" s="53">
        <v>52516.76</v>
      </c>
      <c r="K70" s="53">
        <v>27500.79</v>
      </c>
      <c r="L70" s="53" t="s">
        <v>48</v>
      </c>
      <c r="M70" s="53" t="s">
        <v>48</v>
      </c>
      <c r="N70" s="53" t="s">
        <v>48</v>
      </c>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1:50" ht="13.5" x14ac:dyDescent="0.25">
      <c r="A71" s="4"/>
      <c r="B71" s="383" t="s">
        <v>21</v>
      </c>
      <c r="C71" s="434"/>
      <c r="D71" s="434"/>
      <c r="E71" s="383"/>
      <c r="F71" s="383"/>
      <c r="G71" s="383"/>
      <c r="H71" s="383"/>
      <c r="I71" s="383"/>
      <c r="J71" s="383"/>
      <c r="K71" s="383"/>
      <c r="L71" s="383"/>
      <c r="M71" s="383"/>
      <c r="N71" s="383"/>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row r="72" spans="1:50" x14ac:dyDescent="0.25">
      <c r="A72" s="4"/>
      <c r="B72" s="382" t="s">
        <v>79</v>
      </c>
      <c r="C72" s="382"/>
      <c r="D72" s="382"/>
      <c r="E72" s="382"/>
      <c r="F72" s="382"/>
      <c r="G72" s="382"/>
      <c r="H72" s="382"/>
      <c r="I72" s="382"/>
      <c r="J72" s="382"/>
      <c r="K72" s="382"/>
      <c r="L72" s="382"/>
      <c r="M72" s="382"/>
      <c r="N72" s="382"/>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1:50" s="215" customFormat="1" x14ac:dyDescent="0.25">
      <c r="A73" s="57"/>
      <c r="B73" s="382" t="s">
        <v>80</v>
      </c>
      <c r="C73" s="382"/>
      <c r="D73" s="382"/>
      <c r="E73" s="382"/>
      <c r="F73" s="382"/>
      <c r="G73" s="382"/>
      <c r="H73" s="382"/>
      <c r="I73" s="382"/>
      <c r="J73" s="382"/>
      <c r="K73" s="382"/>
      <c r="L73" s="382"/>
      <c r="M73" s="382"/>
      <c r="N73" s="382"/>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row>
    <row r="74" spans="1:50" x14ac:dyDescent="0.25">
      <c r="A74" s="4"/>
      <c r="B74" s="382" t="s">
        <v>420</v>
      </c>
      <c r="C74" s="382"/>
      <c r="D74" s="382"/>
      <c r="E74" s="382"/>
      <c r="F74" s="382"/>
      <c r="G74" s="382"/>
      <c r="H74" s="382"/>
      <c r="I74" s="382"/>
      <c r="J74" s="382"/>
      <c r="K74" s="382"/>
      <c r="L74" s="382"/>
      <c r="M74" s="382"/>
      <c r="N74" s="382"/>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row>
    <row r="75" spans="1:50" x14ac:dyDescent="0.25">
      <c r="A75" s="4"/>
      <c r="B75" s="382" t="s">
        <v>82</v>
      </c>
      <c r="C75" s="382"/>
      <c r="D75" s="382"/>
      <c r="E75" s="382"/>
      <c r="F75" s="382"/>
      <c r="G75" s="382"/>
      <c r="H75" s="382"/>
      <c r="I75" s="382"/>
      <c r="J75" s="382"/>
      <c r="K75" s="382"/>
      <c r="L75" s="382"/>
      <c r="M75" s="382"/>
      <c r="N75" s="382"/>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50" x14ac:dyDescent="0.25">
      <c r="A76" s="4"/>
      <c r="B76" s="58"/>
      <c r="C76" s="58"/>
      <c r="D76" s="58"/>
      <c r="E76" s="58"/>
      <c r="F76" s="58"/>
      <c r="G76" s="17"/>
      <c r="H76" s="17"/>
      <c r="I76" s="17"/>
      <c r="J76" s="17"/>
      <c r="K76" s="17"/>
      <c r="L76" s="17"/>
      <c r="M76" s="17"/>
      <c r="N76" s="17"/>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row>
    <row r="77" spans="1:50" x14ac:dyDescent="0.25">
      <c r="A77" s="13">
        <v>13</v>
      </c>
      <c r="B77" s="338" t="s">
        <v>83</v>
      </c>
      <c r="C77" s="339"/>
      <c r="D77" s="339"/>
      <c r="E77" s="339"/>
      <c r="F77" s="339"/>
      <c r="G77" s="340"/>
      <c r="H77" s="15"/>
      <c r="I77" s="15"/>
      <c r="J77" s="15"/>
      <c r="K77" s="15"/>
      <c r="L77" s="15"/>
      <c r="M77" s="15"/>
      <c r="N77" s="15"/>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row>
    <row r="78" spans="1:50" x14ac:dyDescent="0.25">
      <c r="A78" s="13"/>
      <c r="B78" s="26"/>
      <c r="C78" s="19"/>
      <c r="D78" s="19"/>
      <c r="E78" s="19"/>
      <c r="F78" s="19"/>
      <c r="G78" s="19"/>
      <c r="H78" s="19"/>
      <c r="I78" s="19"/>
      <c r="J78" s="19"/>
      <c r="K78" s="19"/>
      <c r="L78" s="19"/>
      <c r="M78" s="19"/>
      <c r="N78" s="19"/>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row>
    <row r="79" spans="1:50" ht="102" x14ac:dyDescent="0.25">
      <c r="A79" s="4"/>
      <c r="B79" s="243" t="s">
        <v>84</v>
      </c>
      <c r="C79" s="245" t="s">
        <v>85</v>
      </c>
      <c r="D79" s="245" t="s">
        <v>86</v>
      </c>
      <c r="E79" s="245" t="s">
        <v>280</v>
      </c>
      <c r="F79" s="245" t="s">
        <v>88</v>
      </c>
      <c r="G79" s="245" t="s">
        <v>169</v>
      </c>
      <c r="H79" s="17"/>
      <c r="I79" s="17"/>
      <c r="J79" s="17"/>
      <c r="K79" s="17"/>
      <c r="L79" s="17"/>
      <c r="M79" s="17"/>
      <c r="N79" s="17"/>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row>
    <row r="80" spans="1:50" ht="13.15" customHeight="1" x14ac:dyDescent="0.2">
      <c r="A80" s="4"/>
      <c r="B80" s="316" t="s">
        <v>90</v>
      </c>
      <c r="C80" s="5" t="s">
        <v>850</v>
      </c>
      <c r="D80" s="91">
        <v>1.03</v>
      </c>
      <c r="E80" s="91">
        <v>3.13</v>
      </c>
      <c r="F80" s="91">
        <v>4.29</v>
      </c>
      <c r="G80" s="412" t="s">
        <v>282</v>
      </c>
      <c r="H80" s="62"/>
      <c r="I80" s="62"/>
      <c r="J80" s="62"/>
      <c r="K80" s="62"/>
      <c r="L80" s="62"/>
      <c r="M80" s="62"/>
      <c r="N80" s="62"/>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50" x14ac:dyDescent="0.25">
      <c r="A81" s="4"/>
      <c r="B81" s="316"/>
      <c r="C81" s="5" t="s">
        <v>92</v>
      </c>
      <c r="D81" s="248"/>
      <c r="E81" s="248"/>
      <c r="F81" s="248"/>
      <c r="G81" s="413"/>
      <c r="H81" s="62"/>
      <c r="I81" s="62"/>
      <c r="J81" s="62"/>
      <c r="K81" s="62"/>
      <c r="L81" s="62"/>
      <c r="M81" s="62"/>
      <c r="N81" s="62"/>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50" x14ac:dyDescent="0.25">
      <c r="A82" s="4"/>
      <c r="B82" s="316"/>
      <c r="C82" s="25" t="s">
        <v>852</v>
      </c>
      <c r="D82" s="248">
        <v>23.74</v>
      </c>
      <c r="E82" s="248">
        <v>27.42</v>
      </c>
      <c r="F82" s="248">
        <v>35.33</v>
      </c>
      <c r="G82" s="413"/>
      <c r="H82" s="62"/>
      <c r="I82" s="62"/>
      <c r="J82" s="62"/>
      <c r="K82" s="62"/>
      <c r="L82" s="62"/>
      <c r="M82" s="62"/>
      <c r="N82" s="62"/>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50" x14ac:dyDescent="0.25">
      <c r="A83" s="4"/>
      <c r="B83" s="316"/>
      <c r="C83" s="25" t="s">
        <v>853</v>
      </c>
      <c r="D83" s="248">
        <v>1.23</v>
      </c>
      <c r="E83" s="248">
        <v>1.0900000000000001</v>
      </c>
      <c r="F83" s="248">
        <v>2.33</v>
      </c>
      <c r="G83" s="413"/>
      <c r="H83" s="62"/>
      <c r="I83" s="62"/>
      <c r="J83" s="62"/>
      <c r="K83" s="62"/>
      <c r="L83" s="62"/>
      <c r="M83" s="62"/>
      <c r="N83" s="62"/>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50" x14ac:dyDescent="0.25">
      <c r="A84" s="4"/>
      <c r="B84" s="316"/>
      <c r="C84" s="25" t="s">
        <v>851</v>
      </c>
      <c r="D84" s="248">
        <v>17.84</v>
      </c>
      <c r="E84" s="248">
        <v>16.739999999999998</v>
      </c>
      <c r="F84" s="248">
        <v>21.41</v>
      </c>
      <c r="G84" s="413"/>
      <c r="H84" s="62"/>
      <c r="I84" s="62"/>
      <c r="J84" s="62"/>
      <c r="K84" s="62"/>
      <c r="L84" s="62"/>
      <c r="M84" s="62"/>
      <c r="N84" s="62"/>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50" x14ac:dyDescent="0.25">
      <c r="A85" s="4"/>
      <c r="B85" s="316"/>
      <c r="C85" s="5" t="s">
        <v>93</v>
      </c>
      <c r="D85" s="92"/>
      <c r="E85" s="92"/>
      <c r="F85" s="92"/>
      <c r="G85" s="413"/>
      <c r="H85" s="62"/>
      <c r="I85" s="62"/>
      <c r="J85" s="62"/>
      <c r="K85" s="62"/>
      <c r="L85" s="62"/>
      <c r="M85" s="62"/>
      <c r="N85" s="62"/>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row>
    <row r="86" spans="1:50" x14ac:dyDescent="0.2">
      <c r="A86" s="4"/>
      <c r="B86" s="316" t="s">
        <v>94</v>
      </c>
      <c r="C86" s="5" t="s">
        <v>850</v>
      </c>
      <c r="D86" s="93">
        <v>21.36</v>
      </c>
      <c r="E86" s="93">
        <f>F69/E80</f>
        <v>4.2172523961661339</v>
      </c>
      <c r="F86" s="93">
        <f>I69/F80</f>
        <v>3.1468531468531467</v>
      </c>
      <c r="G86" s="413"/>
      <c r="H86" s="62"/>
      <c r="I86" s="62"/>
      <c r="J86" s="62"/>
      <c r="K86" s="62"/>
      <c r="L86" s="62"/>
      <c r="M86" s="62"/>
      <c r="N86" s="62"/>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50" x14ac:dyDescent="0.25">
      <c r="A87" s="4"/>
      <c r="B87" s="316"/>
      <c r="C87" s="5" t="s">
        <v>92</v>
      </c>
      <c r="D87" s="248">
        <v>61.82</v>
      </c>
      <c r="E87" s="248"/>
      <c r="F87" s="248"/>
      <c r="G87" s="413"/>
      <c r="H87" s="62"/>
      <c r="I87" s="62"/>
      <c r="J87" s="62"/>
      <c r="K87" s="62"/>
      <c r="L87" s="62"/>
      <c r="M87" s="62"/>
      <c r="N87" s="62"/>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50" x14ac:dyDescent="0.25">
      <c r="A88" s="4"/>
      <c r="B88" s="316"/>
      <c r="C88" s="25" t="s">
        <v>852</v>
      </c>
      <c r="D88" s="248">
        <v>29.98</v>
      </c>
      <c r="E88" s="248">
        <f>1401.7/E82</f>
        <v>51.119620714806707</v>
      </c>
      <c r="F88" s="248">
        <f>2707.5/F82</f>
        <v>76.63458816869516</v>
      </c>
      <c r="G88" s="413"/>
      <c r="H88" s="62"/>
      <c r="I88" s="62"/>
      <c r="J88" s="62"/>
      <c r="K88" s="62"/>
      <c r="L88" s="62"/>
      <c r="M88" s="62"/>
      <c r="N88" s="62"/>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50" x14ac:dyDescent="0.25">
      <c r="A89" s="4"/>
      <c r="B89" s="316"/>
      <c r="C89" s="25" t="s">
        <v>853</v>
      </c>
      <c r="D89" s="248">
        <v>11.5</v>
      </c>
      <c r="E89" s="248">
        <f>8.11/E83</f>
        <v>7.4403669724770634</v>
      </c>
      <c r="F89" s="248">
        <f>13.9/F83</f>
        <v>5.9656652360515023</v>
      </c>
      <c r="G89" s="413"/>
      <c r="H89" s="62"/>
      <c r="I89" s="62"/>
      <c r="J89" s="62"/>
      <c r="K89" s="62"/>
      <c r="L89" s="62"/>
      <c r="M89" s="62"/>
      <c r="N89" s="62"/>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50" x14ac:dyDescent="0.25">
      <c r="A90" s="4"/>
      <c r="B90" s="316"/>
      <c r="C90" s="25" t="s">
        <v>851</v>
      </c>
      <c r="D90" s="248">
        <f>530.5/D84</f>
        <v>29.736547085201796</v>
      </c>
      <c r="E90" s="248">
        <f>495.55/E84</f>
        <v>29.602747909199525</v>
      </c>
      <c r="F90" s="248">
        <f>902.95/F84</f>
        <v>42.174217655301263</v>
      </c>
      <c r="G90" s="413"/>
      <c r="H90" s="62"/>
      <c r="I90" s="62"/>
      <c r="J90" s="62"/>
      <c r="K90" s="62"/>
      <c r="L90" s="62"/>
      <c r="M90" s="62"/>
      <c r="N90" s="62"/>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50" x14ac:dyDescent="0.25">
      <c r="A91" s="4"/>
      <c r="B91" s="316"/>
      <c r="C91" s="5" t="s">
        <v>93</v>
      </c>
      <c r="D91" s="92"/>
      <c r="E91" s="92"/>
      <c r="F91" s="92"/>
      <c r="G91" s="413"/>
      <c r="H91" s="62"/>
      <c r="I91" s="62"/>
      <c r="J91" s="62"/>
      <c r="K91" s="62"/>
      <c r="L91" s="62"/>
      <c r="M91" s="62"/>
      <c r="N91" s="62"/>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50" x14ac:dyDescent="0.2">
      <c r="A92" s="4"/>
      <c r="B92" s="316" t="s">
        <v>95</v>
      </c>
      <c r="C92" s="5" t="s">
        <v>850</v>
      </c>
      <c r="D92" s="91">
        <v>9.31</v>
      </c>
      <c r="E92" s="93">
        <f>112.69/763.87*100</f>
        <v>14.752510243889667</v>
      </c>
      <c r="F92" s="93">
        <f>201.72/965.59*100</f>
        <v>20.890854296336954</v>
      </c>
      <c r="G92" s="413"/>
      <c r="H92" s="62"/>
      <c r="I92" s="62"/>
      <c r="J92" s="62"/>
      <c r="K92" s="62"/>
      <c r="L92" s="62"/>
      <c r="M92" s="62"/>
      <c r="N92" s="62"/>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x14ac:dyDescent="0.25">
      <c r="A93" s="4"/>
      <c r="B93" s="316"/>
      <c r="C93" s="5" t="s">
        <v>92</v>
      </c>
      <c r="D93" s="248"/>
      <c r="E93" s="248"/>
      <c r="F93" s="248"/>
      <c r="G93" s="413"/>
      <c r="H93" s="62"/>
      <c r="I93" s="62"/>
      <c r="J93" s="62"/>
      <c r="K93" s="62"/>
      <c r="L93" s="62"/>
      <c r="M93" s="62"/>
      <c r="N93" s="62"/>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50" x14ac:dyDescent="0.25">
      <c r="A94" s="4"/>
      <c r="B94" s="316"/>
      <c r="C94" s="25" t="s">
        <v>852</v>
      </c>
      <c r="D94" s="248">
        <v>20.78</v>
      </c>
      <c r="E94" s="248">
        <v>21.59</v>
      </c>
      <c r="F94" s="248">
        <v>23.81</v>
      </c>
      <c r="G94" s="413"/>
      <c r="H94" s="62"/>
      <c r="I94" s="62"/>
      <c r="J94" s="62"/>
      <c r="K94" s="62"/>
      <c r="L94" s="62"/>
      <c r="M94" s="62"/>
      <c r="N94" s="62"/>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x14ac:dyDescent="0.25">
      <c r="A95" s="4"/>
      <c r="B95" s="316"/>
      <c r="C95" s="25" t="s">
        <v>853</v>
      </c>
      <c r="D95" s="248">
        <v>6.61</v>
      </c>
      <c r="E95" s="248">
        <v>5.55</v>
      </c>
      <c r="F95" s="248">
        <v>10.59</v>
      </c>
      <c r="G95" s="413"/>
      <c r="H95" s="62"/>
      <c r="I95" s="62"/>
      <c r="J95" s="62"/>
      <c r="K95" s="62"/>
      <c r="L95" s="62"/>
      <c r="M95" s="62"/>
      <c r="N95" s="62"/>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x14ac:dyDescent="0.25">
      <c r="A96" s="4"/>
      <c r="B96" s="316"/>
      <c r="C96" s="25" t="s">
        <v>851</v>
      </c>
      <c r="D96" s="248">
        <v>20.91</v>
      </c>
      <c r="E96" s="248">
        <v>24.11</v>
      </c>
      <c r="F96" s="248">
        <v>26.48</v>
      </c>
      <c r="G96" s="413"/>
      <c r="H96" s="62"/>
      <c r="I96" s="62"/>
      <c r="J96" s="62"/>
      <c r="K96" s="62"/>
      <c r="L96" s="62"/>
      <c r="M96" s="62"/>
      <c r="N96" s="62"/>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x14ac:dyDescent="0.25">
      <c r="A97" s="4"/>
      <c r="B97" s="316"/>
      <c r="C97" s="5" t="s">
        <v>93</v>
      </c>
      <c r="D97" s="92"/>
      <c r="E97" s="92"/>
      <c r="F97" s="92"/>
      <c r="G97" s="413"/>
      <c r="H97" s="62"/>
      <c r="I97" s="62"/>
      <c r="J97" s="62"/>
      <c r="K97" s="66"/>
      <c r="L97" s="62"/>
      <c r="M97" s="62"/>
      <c r="N97" s="62"/>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x14ac:dyDescent="0.2">
      <c r="A98" s="4"/>
      <c r="B98" s="316" t="s">
        <v>96</v>
      </c>
      <c r="C98" s="5" t="s">
        <v>850</v>
      </c>
      <c r="D98" s="91"/>
      <c r="E98" s="93">
        <f>763.87/47</f>
        <v>16.252553191489362</v>
      </c>
      <c r="F98" s="93">
        <f>965.59/47</f>
        <v>20.544468085106384</v>
      </c>
      <c r="G98" s="413"/>
      <c r="H98" s="62"/>
      <c r="I98" s="62"/>
      <c r="J98" s="62"/>
      <c r="K98" s="62"/>
      <c r="L98" s="62"/>
      <c r="M98" s="62"/>
      <c r="N98" s="62"/>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50" x14ac:dyDescent="0.25">
      <c r="A99" s="4"/>
      <c r="B99" s="316"/>
      <c r="C99" s="5" t="s">
        <v>92</v>
      </c>
      <c r="D99" s="248"/>
      <c r="E99" s="248"/>
      <c r="F99" s="248"/>
      <c r="G99" s="413"/>
      <c r="H99" s="62"/>
      <c r="I99" s="62"/>
      <c r="J99" s="62"/>
      <c r="K99" s="62"/>
      <c r="L99" s="62"/>
      <c r="M99" s="62"/>
      <c r="N99" s="62"/>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row>
    <row r="100" spans="1:50" x14ac:dyDescent="0.25">
      <c r="A100" s="4"/>
      <c r="B100" s="386"/>
      <c r="C100" s="25" t="s">
        <v>852</v>
      </c>
      <c r="D100" s="248">
        <v>11.07</v>
      </c>
      <c r="E100" s="248">
        <v>123.92</v>
      </c>
      <c r="F100" s="248">
        <v>149.38999999999999</v>
      </c>
      <c r="G100" s="413"/>
      <c r="H100" s="62"/>
      <c r="I100" s="62"/>
      <c r="J100" s="62"/>
      <c r="K100" s="62"/>
      <c r="L100" s="62"/>
      <c r="M100" s="62"/>
      <c r="N100" s="62"/>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row r="101" spans="1:50" x14ac:dyDescent="0.25">
      <c r="A101" s="4"/>
      <c r="B101" s="386"/>
      <c r="C101" s="25" t="s">
        <v>853</v>
      </c>
      <c r="D101" s="248">
        <v>18.62</v>
      </c>
      <c r="E101" s="248">
        <v>19.71</v>
      </c>
      <c r="F101" s="248">
        <v>22.04</v>
      </c>
      <c r="G101" s="413"/>
      <c r="H101" s="62"/>
      <c r="I101" s="62"/>
      <c r="J101" s="62"/>
      <c r="K101" s="62"/>
      <c r="L101" s="62"/>
      <c r="M101" s="62"/>
      <c r="N101" s="62"/>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row>
    <row r="102" spans="1:50" x14ac:dyDescent="0.25">
      <c r="A102" s="4"/>
      <c r="B102" s="386"/>
      <c r="C102" s="25" t="s">
        <v>851</v>
      </c>
      <c r="D102" s="248">
        <v>86.32</v>
      </c>
      <c r="E102" s="248">
        <v>68.680000000000007</v>
      </c>
      <c r="F102" s="248">
        <v>80.81</v>
      </c>
      <c r="G102" s="413"/>
      <c r="H102" s="62"/>
      <c r="I102" s="62"/>
      <c r="J102" s="62"/>
      <c r="K102" s="62"/>
      <c r="L102" s="62"/>
      <c r="M102" s="62"/>
      <c r="N102" s="62"/>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x14ac:dyDescent="0.25">
      <c r="A103" s="4"/>
      <c r="B103" s="386"/>
      <c r="C103" s="5" t="s">
        <v>93</v>
      </c>
      <c r="D103" s="92"/>
      <c r="E103" s="92"/>
      <c r="F103" s="92"/>
      <c r="G103" s="413"/>
      <c r="H103" s="62"/>
      <c r="I103" s="62"/>
      <c r="J103" s="62"/>
      <c r="K103" s="62"/>
      <c r="L103" s="62"/>
      <c r="M103" s="62"/>
      <c r="N103" s="62"/>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row>
    <row r="104" spans="1:50" s="215" customFormat="1" x14ac:dyDescent="0.25">
      <c r="A104" s="57"/>
      <c r="B104" s="387"/>
      <c r="C104" s="388"/>
      <c r="D104" s="388"/>
      <c r="E104" s="388"/>
      <c r="F104" s="388"/>
      <c r="G104" s="389"/>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row>
    <row r="105" spans="1:50" x14ac:dyDescent="0.25">
      <c r="A105" s="4"/>
      <c r="B105" s="376" t="s">
        <v>849</v>
      </c>
      <c r="C105" s="377"/>
      <c r="D105" s="377"/>
      <c r="E105" s="377"/>
      <c r="F105" s="377"/>
      <c r="G105" s="378"/>
      <c r="H105" s="62"/>
      <c r="I105" s="62"/>
      <c r="J105" s="62"/>
      <c r="K105" s="62"/>
      <c r="L105" s="62"/>
      <c r="M105" s="62"/>
      <c r="N105" s="62"/>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row>
    <row r="106" spans="1:50" x14ac:dyDescent="0.25">
      <c r="A106" s="4"/>
      <c r="B106" s="379" t="s">
        <v>128</v>
      </c>
      <c r="C106" s="380"/>
      <c r="D106" s="380"/>
      <c r="E106" s="380"/>
      <c r="F106" s="380"/>
      <c r="G106" s="381"/>
      <c r="H106" s="62"/>
      <c r="I106" s="62"/>
      <c r="J106" s="62"/>
      <c r="K106" s="62"/>
      <c r="L106" s="62"/>
      <c r="M106" s="62"/>
      <c r="N106" s="62"/>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50" x14ac:dyDescent="0.25">
      <c r="A107" s="4"/>
      <c r="B107" s="353"/>
      <c r="C107" s="354"/>
      <c r="D107" s="354"/>
      <c r="E107" s="354"/>
      <c r="F107" s="354"/>
      <c r="G107" s="355"/>
      <c r="H107" s="62"/>
      <c r="I107" s="62"/>
      <c r="J107" s="62"/>
      <c r="K107" s="62"/>
      <c r="L107" s="62"/>
      <c r="M107" s="62"/>
      <c r="N107" s="62"/>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row>
    <row r="108" spans="1:50" x14ac:dyDescent="0.25">
      <c r="A108" s="26"/>
      <c r="B108" s="12"/>
      <c r="C108" s="323"/>
      <c r="D108" s="323"/>
      <c r="E108" s="323"/>
      <c r="F108" s="323"/>
      <c r="G108" s="323"/>
      <c r="H108" s="62"/>
      <c r="I108" s="62"/>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row>
    <row r="109" spans="1:50" x14ac:dyDescent="0.25">
      <c r="A109" s="13">
        <v>14</v>
      </c>
      <c r="B109" s="70" t="s">
        <v>99</v>
      </c>
      <c r="C109" s="324" t="s">
        <v>48</v>
      </c>
      <c r="D109" s="325"/>
      <c r="E109" s="325"/>
      <c r="F109" s="325"/>
      <c r="G109" s="3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row>
    <row r="110" spans="1:50" x14ac:dyDescent="0.25">
      <c r="A110" s="253"/>
      <c r="B110" s="26"/>
      <c r="C110" s="84"/>
      <c r="D110" s="84"/>
      <c r="E110" s="84"/>
      <c r="F110" s="84"/>
      <c r="G110" s="84"/>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50" x14ac:dyDescent="0.25">
      <c r="A111" s="26"/>
      <c r="B111" s="26"/>
      <c r="C111" s="84"/>
      <c r="D111" s="84"/>
      <c r="E111" s="84"/>
      <c r="F111" s="84"/>
      <c r="G111" s="84"/>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x14ac:dyDescent="0.25">
      <c r="A113" s="26"/>
      <c r="B113" s="374" t="s">
        <v>819</v>
      </c>
      <c r="C113" s="375"/>
      <c r="D113" s="375"/>
      <c r="E113" s="375"/>
      <c r="F113" s="375"/>
      <c r="G113" s="375"/>
      <c r="H113" s="375"/>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50"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x14ac:dyDescent="0.25">
      <c r="A118" s="26"/>
      <c r="B118" s="26"/>
      <c r="C118" s="26"/>
      <c r="D118" s="242"/>
      <c r="E118" s="242"/>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x14ac:dyDescent="0.25">
      <c r="A119" s="26"/>
      <c r="B119" s="26"/>
      <c r="C119" s="26"/>
      <c r="D119" s="26"/>
      <c r="E119" s="242"/>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2:14" x14ac:dyDescent="0.25">
      <c r="B193" s="26"/>
      <c r="C193" s="26"/>
      <c r="D193" s="26"/>
      <c r="E193" s="26"/>
      <c r="F193" s="26"/>
      <c r="G193" s="26"/>
      <c r="H193" s="26"/>
      <c r="I193" s="26"/>
      <c r="J193" s="26"/>
      <c r="K193" s="26"/>
      <c r="L193" s="26"/>
      <c r="M193" s="26"/>
      <c r="N193" s="26"/>
    </row>
    <row r="194" spans="2:14" x14ac:dyDescent="0.25">
      <c r="B194" s="26"/>
      <c r="C194" s="26"/>
      <c r="D194" s="26"/>
      <c r="E194" s="26"/>
      <c r="F194" s="26"/>
      <c r="G194" s="26"/>
      <c r="H194" s="26"/>
      <c r="I194" s="26"/>
      <c r="J194" s="26"/>
      <c r="K194" s="26"/>
      <c r="L194" s="26"/>
      <c r="M194" s="26"/>
      <c r="N194" s="26"/>
    </row>
    <row r="195" spans="2:14" x14ac:dyDescent="0.25">
      <c r="B195" s="26"/>
      <c r="C195" s="26"/>
      <c r="D195" s="26"/>
      <c r="E195" s="26"/>
      <c r="F195" s="26"/>
      <c r="G195" s="26"/>
      <c r="H195" s="26"/>
      <c r="I195" s="26"/>
      <c r="J195" s="26"/>
      <c r="K195" s="26"/>
      <c r="L195" s="26"/>
      <c r="M195" s="26"/>
      <c r="N195" s="26"/>
    </row>
    <row r="196" spans="2:14" x14ac:dyDescent="0.25">
      <c r="B196" s="26"/>
      <c r="C196" s="26"/>
      <c r="D196" s="26"/>
      <c r="E196" s="26"/>
      <c r="F196" s="26"/>
      <c r="G196" s="26"/>
      <c r="H196" s="26"/>
      <c r="I196" s="26"/>
      <c r="J196" s="26"/>
      <c r="K196" s="26"/>
      <c r="L196" s="26"/>
      <c r="M196" s="26"/>
      <c r="N196" s="26"/>
    </row>
    <row r="197" spans="2:14" x14ac:dyDescent="0.25">
      <c r="B197" s="26"/>
      <c r="C197" s="26"/>
      <c r="D197" s="26"/>
      <c r="E197" s="26"/>
      <c r="F197" s="26"/>
      <c r="G197" s="26"/>
      <c r="H197" s="26"/>
      <c r="I197" s="26"/>
      <c r="J197" s="26"/>
      <c r="K197" s="26"/>
      <c r="L197" s="26"/>
      <c r="M197" s="26"/>
      <c r="N197" s="26"/>
    </row>
    <row r="198" spans="2:14" x14ac:dyDescent="0.25">
      <c r="B198" s="26"/>
      <c r="C198" s="26"/>
      <c r="D198" s="26"/>
      <c r="E198" s="26"/>
      <c r="F198" s="26"/>
      <c r="G198" s="26"/>
      <c r="H198" s="26"/>
      <c r="I198" s="26"/>
      <c r="J198" s="26"/>
      <c r="K198" s="26"/>
      <c r="L198" s="26"/>
      <c r="M198" s="26"/>
      <c r="N198" s="26"/>
    </row>
    <row r="199" spans="2:14" x14ac:dyDescent="0.25">
      <c r="B199" s="26"/>
      <c r="C199" s="26"/>
      <c r="D199" s="26"/>
      <c r="E199" s="26"/>
      <c r="F199" s="26"/>
      <c r="G199" s="26"/>
      <c r="H199" s="26"/>
      <c r="I199" s="26"/>
      <c r="J199" s="26"/>
      <c r="K199" s="26"/>
      <c r="L199" s="26"/>
      <c r="M199" s="26"/>
      <c r="N199" s="26"/>
    </row>
    <row r="200" spans="2:14" x14ac:dyDescent="0.25">
      <c r="B200" s="26"/>
      <c r="C200" s="26"/>
      <c r="D200" s="26"/>
      <c r="E200" s="26"/>
      <c r="F200" s="26"/>
      <c r="G200" s="26"/>
      <c r="H200" s="26"/>
      <c r="I200" s="26"/>
      <c r="J200" s="26"/>
      <c r="K200" s="26"/>
      <c r="L200" s="26"/>
      <c r="M200" s="26"/>
      <c r="N200" s="26"/>
    </row>
    <row r="201" spans="2:14" x14ac:dyDescent="0.25">
      <c r="B201" s="26"/>
      <c r="C201" s="26"/>
      <c r="D201" s="26"/>
      <c r="E201" s="26"/>
      <c r="F201" s="26"/>
      <c r="G201" s="26"/>
      <c r="H201" s="26"/>
      <c r="I201" s="26"/>
      <c r="J201" s="26"/>
      <c r="K201" s="26"/>
      <c r="L201" s="26"/>
      <c r="M201" s="26"/>
      <c r="N201" s="26"/>
    </row>
    <row r="202" spans="2:14" x14ac:dyDescent="0.25">
      <c r="B202" s="26"/>
      <c r="C202" s="26"/>
      <c r="D202" s="26"/>
      <c r="E202" s="26"/>
      <c r="F202" s="26"/>
      <c r="G202" s="26"/>
      <c r="H202" s="26"/>
      <c r="I202" s="26"/>
      <c r="J202" s="26"/>
      <c r="K202" s="26"/>
      <c r="L202" s="26"/>
      <c r="M202" s="26"/>
      <c r="N202" s="26"/>
    </row>
    <row r="203" spans="2:14" x14ac:dyDescent="0.25">
      <c r="B203" s="26"/>
      <c r="C203" s="26"/>
      <c r="D203" s="26"/>
      <c r="E203" s="26"/>
      <c r="F203" s="26"/>
      <c r="G203" s="26"/>
      <c r="H203" s="26"/>
      <c r="I203" s="26"/>
      <c r="J203" s="26"/>
      <c r="K203" s="26"/>
      <c r="L203" s="26"/>
      <c r="M203" s="26"/>
      <c r="N203" s="26"/>
    </row>
    <row r="204" spans="2:14" x14ac:dyDescent="0.25">
      <c r="B204" s="26"/>
      <c r="C204" s="26"/>
      <c r="D204" s="26"/>
      <c r="E204" s="26"/>
      <c r="F204" s="26"/>
      <c r="G204" s="26"/>
      <c r="H204" s="26"/>
      <c r="I204" s="26"/>
      <c r="J204" s="26"/>
      <c r="K204" s="26"/>
      <c r="L204" s="26"/>
      <c r="M204" s="26"/>
      <c r="N204" s="26"/>
    </row>
    <row r="205" spans="2:14" x14ac:dyDescent="0.25">
      <c r="B205" s="26"/>
      <c r="C205" s="26"/>
      <c r="D205" s="26"/>
      <c r="E205" s="26"/>
      <c r="F205" s="26"/>
      <c r="G205" s="26"/>
      <c r="H205" s="26"/>
      <c r="I205" s="26"/>
      <c r="J205" s="26"/>
      <c r="K205" s="26"/>
      <c r="L205" s="26"/>
      <c r="M205" s="26"/>
      <c r="N205" s="26"/>
    </row>
    <row r="206" spans="2:14" x14ac:dyDescent="0.25">
      <c r="B206" s="26"/>
      <c r="C206" s="26"/>
      <c r="D206" s="26"/>
      <c r="E206" s="26"/>
      <c r="F206" s="26"/>
      <c r="G206" s="26"/>
      <c r="H206" s="26"/>
      <c r="I206" s="26"/>
      <c r="J206" s="26"/>
      <c r="K206" s="26"/>
      <c r="L206" s="26"/>
      <c r="M206" s="26"/>
      <c r="N206" s="26"/>
    </row>
    <row r="207" spans="2:14" x14ac:dyDescent="0.25">
      <c r="B207" s="26"/>
      <c r="C207" s="26"/>
      <c r="D207" s="26"/>
      <c r="E207" s="26"/>
      <c r="F207" s="26"/>
      <c r="G207" s="26"/>
      <c r="H207" s="26"/>
      <c r="I207" s="26"/>
      <c r="J207" s="26"/>
      <c r="K207" s="26"/>
      <c r="L207" s="26"/>
      <c r="M207" s="26"/>
      <c r="N207" s="26"/>
    </row>
    <row r="208" spans="2:14" x14ac:dyDescent="0.25">
      <c r="B208" s="26"/>
      <c r="C208" s="26"/>
      <c r="D208" s="26"/>
      <c r="E208" s="26"/>
      <c r="F208" s="26"/>
      <c r="G208" s="26"/>
      <c r="H208" s="26"/>
      <c r="I208" s="26"/>
      <c r="J208" s="26"/>
      <c r="K208" s="26"/>
      <c r="L208" s="26"/>
      <c r="M208" s="26"/>
      <c r="N208" s="26"/>
    </row>
    <row r="209" spans="2:14" x14ac:dyDescent="0.25">
      <c r="B209" s="26"/>
      <c r="C209" s="26"/>
      <c r="D209" s="26"/>
      <c r="E209" s="26"/>
      <c r="F209" s="26"/>
      <c r="G209" s="26"/>
      <c r="H209" s="26"/>
      <c r="I209" s="26"/>
      <c r="J209" s="26"/>
      <c r="K209" s="26"/>
      <c r="L209" s="26"/>
      <c r="M209" s="26"/>
      <c r="N209" s="26"/>
    </row>
    <row r="210" spans="2:14" x14ac:dyDescent="0.25">
      <c r="B210" s="26"/>
      <c r="C210" s="26"/>
      <c r="D210" s="26"/>
      <c r="E210" s="26"/>
      <c r="F210" s="26"/>
      <c r="G210" s="26"/>
      <c r="H210" s="26"/>
      <c r="I210" s="26"/>
      <c r="J210" s="26"/>
      <c r="K210" s="26"/>
      <c r="L210" s="26"/>
      <c r="M210" s="26"/>
      <c r="N210" s="26"/>
    </row>
    <row r="211" spans="2:14" x14ac:dyDescent="0.25">
      <c r="B211" s="26"/>
      <c r="C211" s="26"/>
      <c r="D211" s="26"/>
      <c r="E211" s="26"/>
      <c r="F211" s="26"/>
      <c r="G211" s="26"/>
      <c r="H211" s="26"/>
      <c r="I211" s="26"/>
      <c r="J211" s="26"/>
      <c r="K211" s="26"/>
      <c r="L211" s="26"/>
      <c r="M211" s="26"/>
      <c r="N211" s="26"/>
    </row>
    <row r="212" spans="2:14" x14ac:dyDescent="0.25">
      <c r="B212" s="26"/>
      <c r="C212" s="26"/>
      <c r="D212" s="26"/>
      <c r="E212" s="26"/>
      <c r="F212" s="26"/>
      <c r="G212" s="26"/>
      <c r="H212" s="26"/>
      <c r="I212" s="26"/>
      <c r="J212" s="26"/>
      <c r="K212" s="26"/>
      <c r="L212" s="26"/>
      <c r="M212" s="26"/>
      <c r="N212" s="26"/>
    </row>
    <row r="213" spans="2:14" x14ac:dyDescent="0.25">
      <c r="B213" s="26"/>
      <c r="C213" s="26"/>
      <c r="D213" s="26"/>
      <c r="E213" s="26"/>
      <c r="F213" s="26"/>
      <c r="G213" s="26"/>
      <c r="H213" s="26"/>
      <c r="I213" s="26"/>
      <c r="J213" s="26"/>
      <c r="K213" s="26"/>
      <c r="L213" s="26"/>
      <c r="M213" s="26"/>
      <c r="N213" s="26"/>
    </row>
    <row r="214" spans="2:14" x14ac:dyDescent="0.25">
      <c r="B214" s="26"/>
      <c r="C214" s="26"/>
      <c r="D214" s="26"/>
      <c r="E214" s="26"/>
      <c r="F214" s="26"/>
      <c r="G214" s="26"/>
      <c r="H214" s="26"/>
      <c r="I214" s="26"/>
      <c r="J214" s="26"/>
      <c r="K214" s="26"/>
      <c r="L214" s="26"/>
      <c r="M214" s="26"/>
      <c r="N214" s="26"/>
    </row>
    <row r="215" spans="2:14" x14ac:dyDescent="0.25">
      <c r="B215" s="26"/>
      <c r="C215" s="26"/>
      <c r="D215" s="26"/>
      <c r="E215" s="26"/>
      <c r="F215" s="26"/>
      <c r="G215" s="26"/>
      <c r="H215" s="26"/>
      <c r="I215" s="26"/>
      <c r="J215" s="26"/>
      <c r="K215" s="26"/>
      <c r="L215" s="26"/>
      <c r="M215" s="26"/>
      <c r="N215" s="26"/>
    </row>
    <row r="216" spans="2:14" x14ac:dyDescent="0.25">
      <c r="B216" s="26"/>
      <c r="C216" s="26"/>
      <c r="D216" s="26"/>
      <c r="E216" s="26"/>
      <c r="F216" s="26"/>
      <c r="G216" s="26"/>
      <c r="H216" s="26"/>
      <c r="I216" s="26"/>
      <c r="J216" s="26"/>
      <c r="K216" s="26"/>
      <c r="L216" s="26"/>
      <c r="M216" s="26"/>
      <c r="N216" s="26"/>
    </row>
    <row r="217" spans="2:14" x14ac:dyDescent="0.25">
      <c r="B217" s="26"/>
      <c r="C217" s="26"/>
      <c r="D217" s="26"/>
      <c r="E217" s="26"/>
      <c r="F217" s="26"/>
      <c r="G217" s="26"/>
      <c r="H217" s="26"/>
      <c r="I217" s="26"/>
      <c r="J217" s="26"/>
      <c r="K217" s="26"/>
      <c r="L217" s="26"/>
      <c r="M217" s="26"/>
      <c r="N217" s="26"/>
    </row>
    <row r="218" spans="2:14" x14ac:dyDescent="0.25">
      <c r="B218" s="26"/>
      <c r="C218" s="26"/>
      <c r="D218" s="26"/>
      <c r="E218" s="26"/>
      <c r="F218" s="26"/>
      <c r="G218" s="26"/>
      <c r="H218" s="26"/>
      <c r="I218" s="26"/>
      <c r="J218" s="26"/>
      <c r="K218" s="26"/>
      <c r="L218" s="26"/>
      <c r="M218" s="26"/>
      <c r="N218" s="26"/>
    </row>
    <row r="219" spans="2:14" x14ac:dyDescent="0.25">
      <c r="B219" s="26"/>
      <c r="C219" s="26"/>
      <c r="D219" s="26"/>
      <c r="E219" s="26"/>
      <c r="F219" s="26"/>
      <c r="G219" s="26"/>
      <c r="H219" s="26"/>
      <c r="I219" s="26"/>
      <c r="J219" s="26"/>
      <c r="K219" s="26"/>
      <c r="L219" s="26"/>
      <c r="M219" s="26"/>
      <c r="N219" s="26"/>
    </row>
    <row r="220" spans="2:14" x14ac:dyDescent="0.25">
      <c r="B220" s="26"/>
      <c r="C220" s="26"/>
      <c r="D220" s="26"/>
      <c r="E220" s="26"/>
      <c r="F220" s="26"/>
      <c r="G220" s="26"/>
      <c r="H220" s="26"/>
      <c r="I220" s="26"/>
      <c r="J220" s="26"/>
      <c r="K220" s="26"/>
      <c r="L220" s="26"/>
      <c r="M220" s="26"/>
      <c r="N220" s="26"/>
    </row>
    <row r="221" spans="2:14" x14ac:dyDescent="0.25">
      <c r="B221" s="26"/>
      <c r="C221" s="26"/>
      <c r="D221" s="26"/>
      <c r="E221" s="26"/>
      <c r="F221" s="26"/>
      <c r="G221" s="26"/>
      <c r="H221" s="26"/>
      <c r="I221" s="26"/>
      <c r="J221" s="26"/>
      <c r="K221" s="26"/>
      <c r="L221" s="26"/>
      <c r="M221" s="26"/>
      <c r="N221" s="26"/>
    </row>
    <row r="222" spans="2:14" x14ac:dyDescent="0.25">
      <c r="B222" s="26"/>
      <c r="C222" s="26"/>
      <c r="D222" s="26"/>
      <c r="E222" s="26"/>
      <c r="F222" s="26"/>
      <c r="G222" s="26"/>
      <c r="H222" s="26"/>
      <c r="I222" s="26"/>
      <c r="J222" s="26"/>
      <c r="K222" s="26"/>
      <c r="L222" s="26"/>
      <c r="M222" s="26"/>
      <c r="N222" s="26"/>
    </row>
    <row r="223" spans="2:14" x14ac:dyDescent="0.25">
      <c r="B223" s="26"/>
      <c r="C223" s="26"/>
      <c r="D223" s="26"/>
      <c r="E223" s="26"/>
      <c r="F223" s="26"/>
      <c r="G223" s="26"/>
      <c r="H223" s="26"/>
      <c r="I223" s="26"/>
      <c r="J223" s="26"/>
      <c r="K223" s="26"/>
      <c r="L223" s="26"/>
      <c r="M223" s="26"/>
      <c r="N223" s="26"/>
    </row>
    <row r="224" spans="2:14" x14ac:dyDescent="0.25">
      <c r="B224" s="26"/>
      <c r="C224" s="26"/>
      <c r="D224" s="26"/>
      <c r="E224" s="26"/>
      <c r="F224" s="26"/>
      <c r="G224" s="26"/>
      <c r="H224" s="26"/>
      <c r="I224" s="26"/>
      <c r="J224" s="26"/>
      <c r="K224" s="26"/>
      <c r="L224" s="26"/>
      <c r="M224" s="26"/>
      <c r="N224" s="26"/>
    </row>
    <row r="225" spans="2:14" x14ac:dyDescent="0.25">
      <c r="B225" s="26"/>
      <c r="C225" s="26"/>
      <c r="D225" s="26"/>
      <c r="E225" s="26"/>
      <c r="F225" s="26"/>
      <c r="G225" s="26"/>
      <c r="H225" s="26"/>
      <c r="I225" s="26"/>
      <c r="J225" s="26"/>
      <c r="K225" s="26"/>
      <c r="L225" s="26"/>
      <c r="M225" s="26"/>
      <c r="N225" s="26"/>
    </row>
    <row r="226" spans="2:14" x14ac:dyDescent="0.25">
      <c r="B226" s="26"/>
      <c r="C226" s="26"/>
      <c r="D226" s="26"/>
      <c r="E226" s="26"/>
      <c r="F226" s="26"/>
      <c r="G226" s="26"/>
      <c r="H226" s="26"/>
      <c r="I226" s="26"/>
      <c r="J226" s="26"/>
      <c r="K226" s="26"/>
      <c r="L226" s="26"/>
      <c r="M226" s="26"/>
      <c r="N226" s="26"/>
    </row>
    <row r="227" spans="2:14" x14ac:dyDescent="0.25">
      <c r="B227" s="26"/>
      <c r="C227" s="26"/>
      <c r="D227" s="26"/>
      <c r="E227" s="26"/>
      <c r="F227" s="26"/>
      <c r="G227" s="26"/>
      <c r="H227" s="26"/>
      <c r="I227" s="26"/>
      <c r="J227" s="26"/>
      <c r="K227" s="26"/>
      <c r="L227" s="26"/>
      <c r="M227" s="26"/>
      <c r="N227" s="26"/>
    </row>
    <row r="228" spans="2:14" x14ac:dyDescent="0.25">
      <c r="B228" s="26"/>
      <c r="C228" s="26"/>
      <c r="D228" s="26"/>
      <c r="E228" s="26"/>
      <c r="F228" s="26"/>
      <c r="G228" s="26"/>
      <c r="H228" s="26"/>
      <c r="I228" s="26"/>
      <c r="J228" s="26"/>
      <c r="K228" s="26"/>
      <c r="L228" s="26"/>
      <c r="M228" s="26"/>
      <c r="N228" s="26"/>
    </row>
    <row r="229" spans="2:14" x14ac:dyDescent="0.25">
      <c r="B229" s="26"/>
      <c r="C229" s="26"/>
      <c r="D229" s="26"/>
      <c r="E229" s="26"/>
      <c r="F229" s="26"/>
      <c r="G229" s="26"/>
      <c r="H229" s="26"/>
      <c r="I229" s="26"/>
      <c r="J229" s="26"/>
      <c r="K229" s="26"/>
      <c r="L229" s="26"/>
      <c r="M229" s="26"/>
      <c r="N229" s="26"/>
    </row>
    <row r="230" spans="2:14" x14ac:dyDescent="0.25">
      <c r="B230" s="26"/>
      <c r="C230" s="26"/>
      <c r="D230" s="26"/>
      <c r="E230" s="26"/>
      <c r="F230" s="26"/>
      <c r="G230" s="26"/>
      <c r="H230" s="26"/>
      <c r="I230" s="26"/>
      <c r="J230" s="26"/>
      <c r="K230" s="26"/>
      <c r="L230" s="26"/>
      <c r="M230" s="26"/>
      <c r="N230" s="26"/>
    </row>
    <row r="231" spans="2:14" x14ac:dyDescent="0.25">
      <c r="B231" s="26"/>
      <c r="C231" s="26"/>
      <c r="D231" s="26"/>
      <c r="E231" s="26"/>
      <c r="F231" s="26"/>
      <c r="G231" s="26"/>
      <c r="H231" s="26"/>
      <c r="I231" s="26"/>
      <c r="J231" s="26"/>
      <c r="K231" s="26"/>
      <c r="L231" s="26"/>
      <c r="M231" s="26"/>
      <c r="N231" s="26"/>
    </row>
    <row r="232" spans="2:14" x14ac:dyDescent="0.25">
      <c r="B232" s="26"/>
      <c r="C232" s="26"/>
      <c r="D232" s="26"/>
      <c r="E232" s="26"/>
      <c r="F232" s="26"/>
      <c r="G232" s="26"/>
      <c r="H232" s="26"/>
      <c r="I232" s="26"/>
      <c r="J232" s="26"/>
      <c r="K232" s="26"/>
      <c r="L232" s="26"/>
      <c r="M232" s="26"/>
      <c r="N232" s="26"/>
    </row>
    <row r="233" spans="2:14" x14ac:dyDescent="0.25">
      <c r="B233" s="26"/>
      <c r="C233" s="26"/>
      <c r="D233" s="26"/>
      <c r="E233" s="26"/>
      <c r="F233" s="26"/>
      <c r="G233" s="26"/>
      <c r="H233" s="26"/>
      <c r="I233" s="26"/>
      <c r="J233" s="26"/>
      <c r="K233" s="26"/>
      <c r="L233" s="26"/>
      <c r="M233" s="26"/>
      <c r="N233" s="26"/>
    </row>
    <row r="234" spans="2:14" x14ac:dyDescent="0.25">
      <c r="B234" s="26"/>
      <c r="C234" s="26"/>
      <c r="D234" s="26"/>
      <c r="E234" s="26"/>
      <c r="F234" s="26"/>
      <c r="G234" s="26"/>
      <c r="H234" s="26"/>
      <c r="I234" s="26"/>
      <c r="J234" s="26"/>
      <c r="K234" s="26"/>
      <c r="L234" s="26"/>
      <c r="M234" s="26"/>
      <c r="N234" s="26"/>
    </row>
    <row r="235" spans="2:14" x14ac:dyDescent="0.25">
      <c r="B235" s="26"/>
      <c r="C235" s="26"/>
      <c r="D235" s="26"/>
      <c r="E235" s="26"/>
      <c r="F235" s="26"/>
      <c r="G235" s="26"/>
      <c r="H235" s="26"/>
      <c r="I235" s="26"/>
      <c r="J235" s="26"/>
      <c r="K235" s="26"/>
      <c r="L235" s="26"/>
      <c r="M235" s="26"/>
      <c r="N235" s="26"/>
    </row>
    <row r="236" spans="2:14" x14ac:dyDescent="0.25">
      <c r="B236" s="26"/>
      <c r="C236" s="26"/>
      <c r="D236" s="26"/>
      <c r="E236" s="26"/>
      <c r="F236" s="26"/>
      <c r="G236" s="26"/>
      <c r="H236" s="26"/>
      <c r="I236" s="26"/>
      <c r="J236" s="26"/>
      <c r="K236" s="26"/>
      <c r="L236" s="26"/>
      <c r="M236" s="26"/>
      <c r="N236" s="26"/>
    </row>
    <row r="237" spans="2:14" x14ac:dyDescent="0.25">
      <c r="B237" s="26"/>
      <c r="C237" s="26"/>
      <c r="D237" s="26"/>
      <c r="E237" s="26"/>
      <c r="F237" s="26"/>
      <c r="G237" s="26"/>
      <c r="H237" s="26"/>
      <c r="I237" s="26"/>
      <c r="J237" s="26"/>
      <c r="K237" s="26"/>
      <c r="L237" s="26"/>
      <c r="M237" s="26"/>
      <c r="N237" s="26"/>
    </row>
    <row r="238" spans="2:14" x14ac:dyDescent="0.25">
      <c r="B238" s="26"/>
      <c r="C238" s="26"/>
      <c r="D238" s="26"/>
      <c r="E238" s="26"/>
      <c r="F238" s="26"/>
      <c r="G238" s="26"/>
      <c r="H238" s="26"/>
      <c r="I238" s="26"/>
      <c r="J238" s="26"/>
      <c r="K238" s="26"/>
      <c r="L238" s="26"/>
      <c r="M238" s="26"/>
      <c r="N238" s="26"/>
    </row>
    <row r="239" spans="2:14" x14ac:dyDescent="0.25">
      <c r="B239" s="26"/>
      <c r="C239" s="26"/>
      <c r="D239" s="26"/>
      <c r="E239" s="26"/>
      <c r="F239" s="26"/>
      <c r="G239" s="26"/>
      <c r="H239" s="26"/>
      <c r="I239" s="26"/>
      <c r="J239" s="26"/>
      <c r="K239" s="26"/>
      <c r="L239" s="26"/>
      <c r="M239" s="26"/>
      <c r="N239" s="26"/>
    </row>
    <row r="240" spans="2:14" x14ac:dyDescent="0.25">
      <c r="B240" s="26"/>
      <c r="C240" s="26"/>
      <c r="D240" s="26"/>
      <c r="E240" s="26"/>
      <c r="F240" s="26"/>
      <c r="G240" s="26"/>
      <c r="H240" s="26"/>
      <c r="I240" s="26"/>
      <c r="J240" s="26"/>
      <c r="K240" s="26"/>
      <c r="L240" s="26"/>
      <c r="M240" s="26"/>
      <c r="N240" s="26"/>
    </row>
    <row r="241" spans="2:14" x14ac:dyDescent="0.25">
      <c r="B241" s="26"/>
      <c r="C241" s="26"/>
      <c r="D241" s="26"/>
      <c r="E241" s="26"/>
      <c r="F241" s="26"/>
      <c r="G241" s="26"/>
      <c r="H241" s="26"/>
      <c r="I241" s="26"/>
      <c r="J241" s="26"/>
      <c r="K241" s="26"/>
      <c r="L241" s="26"/>
      <c r="M241" s="26"/>
      <c r="N241" s="26"/>
    </row>
    <row r="242" spans="2:14" x14ac:dyDescent="0.25">
      <c r="B242" s="26"/>
      <c r="C242" s="26"/>
      <c r="D242" s="26"/>
      <c r="E242" s="26"/>
      <c r="F242" s="26"/>
      <c r="G242" s="26"/>
      <c r="H242" s="26"/>
      <c r="I242" s="26"/>
      <c r="J242" s="26"/>
      <c r="K242" s="26"/>
      <c r="L242" s="26"/>
      <c r="M242" s="26"/>
      <c r="N242" s="26"/>
    </row>
    <row r="243" spans="2:14" x14ac:dyDescent="0.25">
      <c r="B243" s="26"/>
      <c r="C243" s="26"/>
      <c r="D243" s="26"/>
      <c r="E243" s="26"/>
      <c r="F243" s="26"/>
      <c r="G243" s="26"/>
      <c r="H243" s="26"/>
      <c r="I243" s="26"/>
      <c r="J243" s="26"/>
      <c r="K243" s="26"/>
      <c r="L243" s="26"/>
      <c r="M243" s="26"/>
      <c r="N243" s="26"/>
    </row>
    <row r="244" spans="2:14" x14ac:dyDescent="0.25">
      <c r="B244" s="26"/>
      <c r="C244" s="26"/>
      <c r="D244" s="26"/>
      <c r="E244" s="26"/>
      <c r="F244" s="26"/>
      <c r="G244" s="26"/>
      <c r="H244" s="26"/>
      <c r="I244" s="26"/>
      <c r="J244" s="26"/>
      <c r="K244" s="26"/>
      <c r="L244" s="26"/>
      <c r="M244" s="26"/>
      <c r="N244" s="26"/>
    </row>
    <row r="245" spans="2:14" x14ac:dyDescent="0.25">
      <c r="B245" s="26"/>
      <c r="C245" s="26"/>
      <c r="D245" s="26"/>
      <c r="E245" s="26"/>
      <c r="F245" s="26"/>
      <c r="G245" s="26"/>
      <c r="H245" s="26"/>
      <c r="I245" s="26"/>
      <c r="J245" s="26"/>
      <c r="K245" s="26"/>
      <c r="L245" s="26"/>
      <c r="M245" s="26"/>
      <c r="N245" s="26"/>
    </row>
    <row r="246" spans="2:14" x14ac:dyDescent="0.25">
      <c r="B246" s="26"/>
      <c r="C246" s="26"/>
      <c r="D246" s="26"/>
      <c r="E246" s="26"/>
      <c r="F246" s="26"/>
      <c r="G246" s="26"/>
      <c r="H246" s="26"/>
      <c r="I246" s="26"/>
      <c r="J246" s="26"/>
      <c r="K246" s="26"/>
      <c r="L246" s="26"/>
      <c r="M246" s="26"/>
      <c r="N246" s="26"/>
    </row>
    <row r="247" spans="2:14" x14ac:dyDescent="0.25">
      <c r="B247" s="26"/>
      <c r="C247" s="26"/>
      <c r="D247" s="26"/>
      <c r="E247" s="26"/>
      <c r="F247" s="26"/>
      <c r="G247" s="26"/>
      <c r="H247" s="26"/>
      <c r="I247" s="26"/>
      <c r="J247" s="26"/>
      <c r="K247" s="26"/>
      <c r="L247" s="26"/>
      <c r="M247" s="26"/>
      <c r="N247" s="26"/>
    </row>
    <row r="248" spans="2:14" x14ac:dyDescent="0.25">
      <c r="B248" s="26"/>
      <c r="C248" s="26"/>
      <c r="D248" s="26"/>
      <c r="E248" s="26"/>
      <c r="F248" s="26"/>
      <c r="G248" s="26"/>
      <c r="H248" s="26"/>
      <c r="I248" s="26"/>
      <c r="J248" s="26"/>
      <c r="K248" s="26"/>
      <c r="L248" s="26"/>
      <c r="M248" s="26"/>
      <c r="N248" s="26"/>
    </row>
    <row r="249" spans="2:14" x14ac:dyDescent="0.25">
      <c r="B249" s="26"/>
      <c r="C249" s="26"/>
      <c r="D249" s="26"/>
      <c r="E249" s="26"/>
      <c r="F249" s="26"/>
      <c r="G249" s="26"/>
      <c r="H249" s="26"/>
      <c r="I249" s="26"/>
      <c r="J249" s="26"/>
      <c r="K249" s="26"/>
      <c r="L249" s="26"/>
      <c r="M249" s="26"/>
      <c r="N249" s="26"/>
    </row>
    <row r="250" spans="2:14" x14ac:dyDescent="0.25">
      <c r="B250" s="26"/>
      <c r="C250" s="26"/>
      <c r="D250" s="26"/>
      <c r="E250" s="26"/>
      <c r="F250" s="26"/>
      <c r="G250" s="26"/>
      <c r="H250" s="26"/>
      <c r="I250" s="26"/>
      <c r="J250" s="26"/>
      <c r="K250" s="26"/>
      <c r="L250" s="26"/>
      <c r="M250" s="26"/>
      <c r="N250" s="26"/>
    </row>
    <row r="251" spans="2:14" x14ac:dyDescent="0.25">
      <c r="B251" s="26"/>
      <c r="C251" s="26"/>
      <c r="D251" s="26"/>
      <c r="E251" s="26"/>
      <c r="F251" s="26"/>
      <c r="G251" s="26"/>
      <c r="H251" s="26"/>
      <c r="I251" s="26"/>
      <c r="J251" s="26"/>
      <c r="K251" s="26"/>
      <c r="L251" s="26"/>
      <c r="M251" s="26"/>
      <c r="N251" s="26"/>
    </row>
    <row r="252" spans="2:14" x14ac:dyDescent="0.25">
      <c r="B252" s="26"/>
      <c r="C252" s="26"/>
      <c r="D252" s="26"/>
      <c r="E252" s="26"/>
      <c r="F252" s="26"/>
      <c r="G252" s="26"/>
      <c r="H252" s="26"/>
      <c r="I252" s="26"/>
      <c r="J252" s="26"/>
      <c r="K252" s="26"/>
      <c r="L252" s="26"/>
      <c r="M252" s="26"/>
      <c r="N252" s="26"/>
    </row>
    <row r="253" spans="2:14" x14ac:dyDescent="0.25">
      <c r="B253" s="26"/>
      <c r="C253" s="26"/>
      <c r="D253" s="26"/>
      <c r="E253" s="26"/>
      <c r="F253" s="26"/>
      <c r="G253" s="26"/>
      <c r="H253" s="26"/>
      <c r="I253" s="26"/>
      <c r="J253" s="26"/>
      <c r="K253" s="26"/>
      <c r="L253" s="26"/>
      <c r="M253" s="26"/>
      <c r="N253" s="26"/>
    </row>
    <row r="254" spans="2:14" x14ac:dyDescent="0.25">
      <c r="B254" s="26"/>
      <c r="C254" s="26"/>
      <c r="D254" s="26"/>
      <c r="E254" s="26"/>
      <c r="F254" s="26"/>
      <c r="G254" s="26"/>
      <c r="H254" s="26"/>
      <c r="I254" s="26"/>
      <c r="J254" s="26"/>
      <c r="K254" s="26"/>
      <c r="L254" s="26"/>
      <c r="M254" s="26"/>
      <c r="N254" s="26"/>
    </row>
    <row r="255" spans="2:14" x14ac:dyDescent="0.25">
      <c r="B255" s="26"/>
      <c r="C255" s="26"/>
      <c r="D255" s="26"/>
      <c r="E255" s="26"/>
      <c r="F255" s="26"/>
      <c r="G255" s="26"/>
      <c r="H255" s="26"/>
      <c r="I255" s="26"/>
      <c r="J255" s="26"/>
      <c r="K255" s="26"/>
      <c r="L255" s="26"/>
      <c r="M255" s="26"/>
      <c r="N255" s="26"/>
    </row>
    <row r="256" spans="2:14" x14ac:dyDescent="0.25">
      <c r="B256" s="26"/>
      <c r="C256" s="26"/>
      <c r="D256" s="26"/>
      <c r="E256" s="26"/>
      <c r="F256" s="26"/>
      <c r="G256" s="26"/>
      <c r="H256" s="26"/>
      <c r="I256" s="26"/>
      <c r="J256" s="26"/>
      <c r="K256" s="26"/>
      <c r="L256" s="26"/>
      <c r="M256" s="26"/>
      <c r="N256" s="26"/>
    </row>
    <row r="257" spans="2:14" x14ac:dyDescent="0.25">
      <c r="B257" s="26"/>
      <c r="C257" s="26"/>
      <c r="D257" s="26"/>
      <c r="E257" s="26"/>
      <c r="F257" s="26"/>
      <c r="G257" s="26"/>
      <c r="H257" s="26"/>
      <c r="I257" s="26"/>
      <c r="J257" s="26"/>
      <c r="K257" s="26"/>
      <c r="L257" s="26"/>
      <c r="M257" s="26"/>
      <c r="N257" s="26"/>
    </row>
    <row r="258" spans="2:14" x14ac:dyDescent="0.25">
      <c r="B258" s="26"/>
      <c r="C258" s="26"/>
      <c r="D258" s="26"/>
      <c r="E258" s="26"/>
      <c r="F258" s="26"/>
      <c r="G258" s="26"/>
      <c r="H258" s="26"/>
      <c r="I258" s="26"/>
      <c r="J258" s="26"/>
      <c r="K258" s="26"/>
      <c r="L258" s="26"/>
      <c r="M258" s="26"/>
      <c r="N258" s="26"/>
    </row>
    <row r="259" spans="2:14" x14ac:dyDescent="0.25">
      <c r="B259" s="26"/>
      <c r="C259" s="26"/>
      <c r="D259" s="26"/>
      <c r="E259" s="26"/>
      <c r="F259" s="26"/>
      <c r="G259" s="26"/>
      <c r="H259" s="26"/>
      <c r="I259" s="26"/>
      <c r="J259" s="26"/>
      <c r="K259" s="26"/>
      <c r="L259" s="26"/>
      <c r="M259" s="26"/>
      <c r="N259" s="26"/>
    </row>
    <row r="260" spans="2:14" x14ac:dyDescent="0.25">
      <c r="B260" s="26"/>
      <c r="C260" s="26"/>
      <c r="D260" s="26"/>
      <c r="E260" s="26"/>
      <c r="F260" s="26"/>
      <c r="G260" s="26"/>
      <c r="H260" s="26"/>
      <c r="I260" s="26"/>
      <c r="J260" s="26"/>
      <c r="K260" s="26"/>
      <c r="L260" s="26"/>
      <c r="M260" s="26"/>
      <c r="N260" s="26"/>
    </row>
    <row r="261" spans="2:14" x14ac:dyDescent="0.25">
      <c r="B261" s="26"/>
      <c r="C261" s="26"/>
      <c r="D261" s="26"/>
      <c r="E261" s="26"/>
      <c r="F261" s="26"/>
      <c r="G261" s="26"/>
      <c r="H261" s="26"/>
      <c r="I261" s="26"/>
      <c r="J261" s="26"/>
      <c r="K261" s="26"/>
      <c r="L261" s="26"/>
      <c r="M261" s="26"/>
      <c r="N261" s="26"/>
    </row>
    <row r="262" spans="2:14" x14ac:dyDescent="0.25">
      <c r="B262" s="26"/>
      <c r="C262" s="26"/>
      <c r="D262" s="26"/>
      <c r="E262" s="26"/>
      <c r="F262" s="26"/>
      <c r="G262" s="26"/>
      <c r="H262" s="26"/>
      <c r="I262" s="26"/>
      <c r="J262" s="26"/>
      <c r="K262" s="26"/>
      <c r="L262" s="26"/>
      <c r="M262" s="26"/>
      <c r="N262" s="26"/>
    </row>
    <row r="263" spans="2:14" x14ac:dyDescent="0.25">
      <c r="B263" s="26"/>
      <c r="C263" s="26"/>
      <c r="D263" s="26"/>
      <c r="E263" s="26"/>
      <c r="F263" s="26"/>
      <c r="G263" s="26"/>
      <c r="H263" s="26"/>
      <c r="I263" s="26"/>
      <c r="J263" s="26"/>
      <c r="K263" s="26"/>
      <c r="L263" s="26"/>
      <c r="M263" s="26"/>
      <c r="N263" s="26"/>
    </row>
    <row r="264" spans="2:14" x14ac:dyDescent="0.25">
      <c r="B264" s="26"/>
      <c r="C264" s="26"/>
      <c r="D264" s="26"/>
      <c r="E264" s="26"/>
      <c r="F264" s="26"/>
      <c r="G264" s="26"/>
      <c r="H264" s="26"/>
      <c r="I264" s="26"/>
      <c r="J264" s="26"/>
      <c r="K264" s="26"/>
      <c r="L264" s="26"/>
      <c r="M264" s="26"/>
      <c r="N264" s="26"/>
    </row>
    <row r="265" spans="2:14" x14ac:dyDescent="0.25">
      <c r="B265" s="26"/>
      <c r="C265" s="26"/>
      <c r="D265" s="26"/>
      <c r="E265" s="26"/>
      <c r="F265" s="26"/>
      <c r="G265" s="26"/>
      <c r="H265" s="26"/>
      <c r="I265" s="26"/>
      <c r="J265" s="26"/>
      <c r="K265" s="26"/>
      <c r="L265" s="26"/>
      <c r="M265" s="26"/>
      <c r="N265" s="26"/>
    </row>
    <row r="266" spans="2:14" x14ac:dyDescent="0.25">
      <c r="B266" s="26"/>
      <c r="C266" s="26"/>
      <c r="D266" s="26"/>
      <c r="E266" s="26"/>
      <c r="F266" s="26"/>
      <c r="G266" s="26"/>
      <c r="H266" s="26"/>
      <c r="I266" s="26"/>
      <c r="J266" s="26"/>
      <c r="K266" s="26"/>
      <c r="L266" s="26"/>
      <c r="M266" s="26"/>
      <c r="N266" s="26"/>
    </row>
    <row r="267" spans="2:14" x14ac:dyDescent="0.25">
      <c r="B267" s="26"/>
      <c r="C267" s="26"/>
      <c r="D267" s="26"/>
      <c r="E267" s="26"/>
      <c r="F267" s="26"/>
      <c r="G267" s="26"/>
      <c r="H267" s="26"/>
      <c r="I267" s="26"/>
      <c r="J267" s="26"/>
      <c r="K267" s="26"/>
      <c r="L267" s="26"/>
      <c r="M267" s="26"/>
      <c r="N267" s="26"/>
    </row>
    <row r="268" spans="2:14" x14ac:dyDescent="0.25">
      <c r="B268" s="26"/>
      <c r="C268" s="26"/>
      <c r="D268" s="26"/>
      <c r="E268" s="26"/>
      <c r="F268" s="26"/>
      <c r="G268" s="26"/>
      <c r="H268" s="26"/>
      <c r="I268" s="26"/>
      <c r="J268" s="26"/>
      <c r="K268" s="26"/>
      <c r="L268" s="26"/>
      <c r="M268" s="26"/>
      <c r="N268" s="26"/>
    </row>
    <row r="269" spans="2:14" x14ac:dyDescent="0.25">
      <c r="B269" s="26"/>
      <c r="C269" s="26"/>
      <c r="D269" s="26"/>
      <c r="E269" s="26"/>
      <c r="F269" s="26"/>
      <c r="G269" s="26"/>
      <c r="H269" s="26"/>
      <c r="I269" s="26"/>
      <c r="J269" s="26"/>
      <c r="K269" s="26"/>
      <c r="L269" s="26"/>
      <c r="M269" s="26"/>
      <c r="N269" s="26"/>
    </row>
    <row r="270" spans="2:14" x14ac:dyDescent="0.25">
      <c r="B270" s="26"/>
      <c r="C270" s="26"/>
      <c r="D270" s="26"/>
      <c r="E270" s="26"/>
      <c r="F270" s="26"/>
      <c r="G270" s="26"/>
      <c r="H270" s="26"/>
      <c r="I270" s="26"/>
      <c r="J270" s="26"/>
      <c r="K270" s="26"/>
      <c r="L270" s="26"/>
      <c r="M270" s="26"/>
      <c r="N270" s="26"/>
    </row>
    <row r="271" spans="2:14" x14ac:dyDescent="0.25">
      <c r="B271" s="26"/>
      <c r="C271" s="26"/>
      <c r="D271" s="26"/>
      <c r="E271" s="26"/>
      <c r="F271" s="26"/>
      <c r="G271" s="26"/>
      <c r="H271" s="26"/>
      <c r="I271" s="26"/>
      <c r="J271" s="26"/>
      <c r="K271" s="26"/>
      <c r="L271" s="26"/>
      <c r="M271" s="26"/>
      <c r="N271" s="26"/>
    </row>
    <row r="272" spans="2:14" x14ac:dyDescent="0.25">
      <c r="B272" s="26"/>
      <c r="C272" s="26"/>
      <c r="D272" s="26"/>
      <c r="E272" s="26"/>
      <c r="F272" s="26"/>
      <c r="G272" s="26"/>
      <c r="H272" s="26"/>
      <c r="I272" s="26"/>
      <c r="J272" s="26"/>
      <c r="K272" s="26"/>
      <c r="L272" s="26"/>
      <c r="M272" s="26"/>
      <c r="N272" s="26"/>
    </row>
    <row r="273" spans="2:14" x14ac:dyDescent="0.25">
      <c r="B273" s="26"/>
      <c r="C273" s="26"/>
      <c r="D273" s="26"/>
      <c r="E273" s="26"/>
      <c r="F273" s="26"/>
      <c r="G273" s="26"/>
      <c r="H273" s="26"/>
      <c r="I273" s="26"/>
      <c r="J273" s="26"/>
      <c r="K273" s="26"/>
      <c r="L273" s="26"/>
      <c r="M273" s="26"/>
      <c r="N273" s="26"/>
    </row>
    <row r="274" spans="2:14" x14ac:dyDescent="0.25">
      <c r="B274" s="26"/>
      <c r="C274" s="26"/>
      <c r="D274" s="26"/>
      <c r="E274" s="26"/>
      <c r="F274" s="26"/>
      <c r="G274" s="26"/>
      <c r="H274" s="26"/>
      <c r="I274" s="26"/>
      <c r="J274" s="26"/>
      <c r="K274" s="26"/>
      <c r="L274" s="26"/>
      <c r="M274" s="26"/>
      <c r="N274" s="26"/>
    </row>
    <row r="275" spans="2:14" x14ac:dyDescent="0.25">
      <c r="B275" s="26"/>
      <c r="C275" s="26"/>
      <c r="D275" s="26"/>
      <c r="E275" s="26"/>
      <c r="F275" s="26"/>
      <c r="G275" s="26"/>
      <c r="H275" s="26"/>
      <c r="I275" s="26"/>
      <c r="J275" s="26"/>
      <c r="K275" s="26"/>
      <c r="L275" s="26"/>
      <c r="M275" s="26"/>
      <c r="N275" s="26"/>
    </row>
    <row r="276" spans="2:14" x14ac:dyDescent="0.25">
      <c r="B276" s="26"/>
      <c r="C276" s="26"/>
      <c r="D276" s="26"/>
      <c r="E276" s="26"/>
      <c r="F276" s="26"/>
      <c r="G276" s="26"/>
      <c r="H276" s="26"/>
      <c r="I276" s="26"/>
      <c r="J276" s="26"/>
      <c r="K276" s="26"/>
      <c r="L276" s="26"/>
      <c r="M276" s="26"/>
      <c r="N276" s="26"/>
    </row>
    <row r="277" spans="2:14" x14ac:dyDescent="0.25">
      <c r="B277" s="26"/>
      <c r="C277" s="26"/>
      <c r="D277" s="26"/>
      <c r="E277" s="26"/>
      <c r="F277" s="26"/>
      <c r="G277" s="26"/>
      <c r="H277" s="26"/>
      <c r="I277" s="26"/>
      <c r="J277" s="26"/>
      <c r="K277" s="26"/>
      <c r="L277" s="26"/>
      <c r="M277" s="26"/>
      <c r="N277" s="26"/>
    </row>
    <row r="278" spans="2:14" x14ac:dyDescent="0.25">
      <c r="B278" s="26"/>
      <c r="C278" s="26"/>
      <c r="D278" s="26"/>
      <c r="E278" s="26"/>
      <c r="F278" s="26"/>
      <c r="G278" s="26"/>
      <c r="H278" s="26"/>
      <c r="I278" s="26"/>
      <c r="J278" s="26"/>
      <c r="K278" s="26"/>
      <c r="L278" s="26"/>
      <c r="M278" s="26"/>
      <c r="N278" s="26"/>
    </row>
    <row r="279" spans="2:14" x14ac:dyDescent="0.25">
      <c r="B279" s="26"/>
      <c r="C279" s="26"/>
      <c r="D279" s="26"/>
      <c r="E279" s="26"/>
      <c r="F279" s="26"/>
      <c r="G279" s="26"/>
      <c r="H279" s="26"/>
      <c r="I279" s="26"/>
      <c r="J279" s="26"/>
      <c r="K279" s="26"/>
      <c r="L279" s="26"/>
      <c r="M279" s="26"/>
      <c r="N279" s="26"/>
    </row>
    <row r="280" spans="2:14" x14ac:dyDescent="0.25">
      <c r="B280" s="26"/>
      <c r="C280" s="26"/>
      <c r="D280" s="26"/>
      <c r="E280" s="26"/>
      <c r="F280" s="26"/>
      <c r="G280" s="26"/>
      <c r="H280" s="26"/>
      <c r="I280" s="26"/>
      <c r="J280" s="26"/>
      <c r="K280" s="26"/>
      <c r="L280" s="26"/>
      <c r="M280" s="26"/>
      <c r="N280" s="26"/>
    </row>
    <row r="281" spans="2:14" x14ac:dyDescent="0.25">
      <c r="B281" s="26"/>
      <c r="C281" s="26"/>
      <c r="D281" s="26"/>
      <c r="E281" s="26"/>
      <c r="F281" s="26"/>
      <c r="G281" s="26"/>
      <c r="H281" s="26"/>
      <c r="I281" s="26"/>
      <c r="J281" s="26"/>
      <c r="K281" s="26"/>
      <c r="L281" s="26"/>
      <c r="M281" s="26"/>
      <c r="N281" s="26"/>
    </row>
    <row r="282" spans="2:14" x14ac:dyDescent="0.25">
      <c r="B282" s="26"/>
      <c r="C282" s="26"/>
      <c r="D282" s="26"/>
      <c r="E282" s="26"/>
      <c r="F282" s="26"/>
      <c r="G282" s="26"/>
      <c r="H282" s="26"/>
      <c r="I282" s="26"/>
      <c r="J282" s="26"/>
      <c r="K282" s="26"/>
      <c r="L282" s="26"/>
      <c r="M282" s="26"/>
      <c r="N282" s="26"/>
    </row>
    <row r="283" spans="2:14" x14ac:dyDescent="0.25">
      <c r="B283" s="26"/>
      <c r="C283" s="26"/>
      <c r="D283" s="26"/>
      <c r="E283" s="26"/>
      <c r="F283" s="26"/>
      <c r="G283" s="26"/>
      <c r="H283" s="26"/>
      <c r="I283" s="26"/>
      <c r="J283" s="26"/>
      <c r="K283" s="26"/>
      <c r="L283" s="26"/>
      <c r="M283" s="26"/>
      <c r="N283" s="26"/>
    </row>
    <row r="284" spans="2:14" x14ac:dyDescent="0.25">
      <c r="B284" s="26"/>
      <c r="C284" s="26"/>
      <c r="D284" s="26"/>
      <c r="E284" s="26"/>
      <c r="F284" s="26"/>
      <c r="G284" s="26"/>
      <c r="H284" s="26"/>
      <c r="I284" s="26"/>
      <c r="J284" s="26"/>
      <c r="K284" s="26"/>
      <c r="L284" s="26"/>
      <c r="M284" s="26"/>
      <c r="N284" s="26"/>
    </row>
    <row r="285" spans="2:14" x14ac:dyDescent="0.25">
      <c r="B285" s="26"/>
      <c r="C285" s="26"/>
      <c r="D285" s="26"/>
      <c r="E285" s="26"/>
      <c r="F285" s="26"/>
      <c r="G285" s="26"/>
      <c r="H285" s="26"/>
      <c r="I285" s="26"/>
      <c r="J285" s="26"/>
      <c r="K285" s="26"/>
      <c r="L285" s="26"/>
      <c r="M285" s="26"/>
      <c r="N285" s="26"/>
    </row>
    <row r="286" spans="2:14" x14ac:dyDescent="0.25">
      <c r="B286" s="26"/>
      <c r="C286" s="26"/>
      <c r="D286" s="26"/>
      <c r="E286" s="26"/>
      <c r="F286" s="26"/>
      <c r="G286" s="26"/>
      <c r="H286" s="26"/>
      <c r="I286" s="26"/>
      <c r="J286" s="26"/>
      <c r="K286" s="26"/>
      <c r="L286" s="26"/>
      <c r="M286" s="26"/>
      <c r="N286" s="26"/>
    </row>
    <row r="287" spans="2:14" x14ac:dyDescent="0.25">
      <c r="B287" s="26"/>
      <c r="C287" s="26"/>
      <c r="D287" s="26"/>
      <c r="E287" s="26"/>
      <c r="F287" s="26"/>
      <c r="G287" s="26"/>
      <c r="H287" s="26"/>
      <c r="I287" s="26"/>
      <c r="J287" s="26"/>
      <c r="K287" s="26"/>
      <c r="L287" s="26"/>
      <c r="M287" s="26"/>
      <c r="N287" s="26"/>
    </row>
    <row r="288" spans="2:14" x14ac:dyDescent="0.25">
      <c r="B288" s="26"/>
      <c r="C288" s="26"/>
      <c r="D288" s="26"/>
      <c r="E288" s="26"/>
      <c r="F288" s="26"/>
      <c r="G288" s="26"/>
      <c r="H288" s="26"/>
      <c r="I288" s="26"/>
      <c r="J288" s="26"/>
      <c r="K288" s="26"/>
      <c r="L288" s="26"/>
      <c r="M288" s="26"/>
      <c r="N288" s="26"/>
    </row>
    <row r="289" spans="2:14" x14ac:dyDescent="0.25">
      <c r="B289" s="26"/>
      <c r="C289" s="26"/>
      <c r="D289" s="26"/>
      <c r="E289" s="26"/>
      <c r="F289" s="26"/>
      <c r="G289" s="26"/>
      <c r="H289" s="26"/>
      <c r="I289" s="26"/>
      <c r="J289" s="26"/>
      <c r="K289" s="26"/>
      <c r="L289" s="26"/>
      <c r="M289" s="26"/>
      <c r="N289" s="26"/>
    </row>
    <row r="290" spans="2:14" x14ac:dyDescent="0.25">
      <c r="B290" s="26"/>
      <c r="C290" s="26"/>
      <c r="D290" s="26"/>
      <c r="E290" s="26"/>
      <c r="F290" s="26"/>
      <c r="G290" s="26"/>
      <c r="H290" s="26"/>
      <c r="I290" s="26"/>
      <c r="J290" s="26"/>
      <c r="K290" s="26"/>
      <c r="L290" s="26"/>
      <c r="M290" s="26"/>
      <c r="N290" s="26"/>
    </row>
    <row r="291" spans="2:14" x14ac:dyDescent="0.25">
      <c r="B291" s="26"/>
      <c r="C291" s="26"/>
      <c r="D291" s="26"/>
      <c r="E291" s="26"/>
      <c r="F291" s="26"/>
      <c r="G291" s="26"/>
      <c r="H291" s="26"/>
      <c r="I291" s="26"/>
      <c r="J291" s="26"/>
      <c r="K291" s="26"/>
      <c r="L291" s="26"/>
      <c r="M291" s="26"/>
      <c r="N291" s="26"/>
    </row>
    <row r="292" spans="2:14" x14ac:dyDescent="0.25">
      <c r="B292" s="26"/>
      <c r="C292" s="26"/>
      <c r="D292" s="26"/>
      <c r="E292" s="26"/>
      <c r="F292" s="26"/>
      <c r="G292" s="26"/>
      <c r="H292" s="26"/>
      <c r="I292" s="26"/>
      <c r="J292" s="26"/>
      <c r="K292" s="26"/>
      <c r="L292" s="26"/>
      <c r="M292" s="26"/>
      <c r="N292" s="26"/>
    </row>
    <row r="293" spans="2:14" x14ac:dyDescent="0.25">
      <c r="B293" s="26"/>
      <c r="C293" s="26"/>
      <c r="D293" s="26"/>
      <c r="E293" s="26"/>
      <c r="F293" s="26"/>
      <c r="G293" s="26"/>
      <c r="H293" s="26"/>
      <c r="I293" s="26"/>
      <c r="J293" s="26"/>
      <c r="K293" s="26"/>
      <c r="L293" s="26"/>
      <c r="M293" s="26"/>
      <c r="N293" s="26"/>
    </row>
    <row r="294" spans="2:14" x14ac:dyDescent="0.25">
      <c r="B294" s="26"/>
      <c r="C294" s="26"/>
      <c r="D294" s="26"/>
      <c r="E294" s="26"/>
      <c r="F294" s="26"/>
      <c r="G294" s="26"/>
      <c r="H294" s="26"/>
      <c r="I294" s="26"/>
      <c r="J294" s="26"/>
      <c r="K294" s="26"/>
      <c r="L294" s="26"/>
      <c r="M294" s="26"/>
      <c r="N294" s="26"/>
    </row>
    <row r="295" spans="2:14" x14ac:dyDescent="0.25">
      <c r="B295" s="26"/>
      <c r="C295" s="26"/>
      <c r="D295" s="26"/>
      <c r="E295" s="26"/>
      <c r="F295" s="26"/>
      <c r="G295" s="26"/>
      <c r="H295" s="26"/>
      <c r="I295" s="26"/>
      <c r="J295" s="26"/>
      <c r="K295" s="26"/>
      <c r="L295" s="26"/>
      <c r="M295" s="26"/>
      <c r="N295" s="26"/>
    </row>
    <row r="296" spans="2:14" x14ac:dyDescent="0.25">
      <c r="B296" s="26"/>
      <c r="C296" s="26"/>
      <c r="D296" s="26"/>
      <c r="E296" s="26"/>
      <c r="F296" s="26"/>
      <c r="G296" s="26"/>
      <c r="H296" s="26"/>
      <c r="I296" s="26"/>
      <c r="J296" s="26"/>
      <c r="K296" s="26"/>
      <c r="L296" s="26"/>
      <c r="M296" s="26"/>
      <c r="N296" s="26"/>
    </row>
    <row r="297" spans="2:14" x14ac:dyDescent="0.25">
      <c r="B297" s="26"/>
      <c r="C297" s="26"/>
      <c r="D297" s="26"/>
      <c r="E297" s="26"/>
      <c r="F297" s="26"/>
      <c r="G297" s="26"/>
      <c r="H297" s="26"/>
      <c r="I297" s="26"/>
      <c r="J297" s="26"/>
      <c r="K297" s="26"/>
      <c r="L297" s="26"/>
      <c r="M297" s="26"/>
      <c r="N297" s="26"/>
    </row>
  </sheetData>
  <sheetProtection password="DB00" sheet="1" objects="1" scenarios="1"/>
  <mergeCells count="60">
    <mergeCell ref="B113:H113"/>
    <mergeCell ref="B104:G104"/>
    <mergeCell ref="B105:G105"/>
    <mergeCell ref="B106:G106"/>
    <mergeCell ref="B107:G107"/>
    <mergeCell ref="C108:G108"/>
    <mergeCell ref="C109:G109"/>
    <mergeCell ref="B74:N74"/>
    <mergeCell ref="B75:N75"/>
    <mergeCell ref="B77:G77"/>
    <mergeCell ref="B80:B85"/>
    <mergeCell ref="G80:G103"/>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69"/>
  <sheetViews>
    <sheetView topLeftCell="B1" workbookViewId="0">
      <selection activeCell="C7" sqref="C7"/>
    </sheetView>
  </sheetViews>
  <sheetFormatPr defaultColWidth="8.85546875" defaultRowHeight="12.75" x14ac:dyDescent="0.25"/>
  <cols>
    <col min="1" max="1" width="8.85546875" style="213"/>
    <col min="2" max="2" width="40.85546875" style="213" customWidth="1"/>
    <col min="3" max="3" width="43.42578125" style="213" customWidth="1"/>
    <col min="4" max="4" width="15.85546875" style="213" customWidth="1"/>
    <col min="5" max="5" width="22.28515625" style="213" customWidth="1"/>
    <col min="6" max="6" width="11.28515625" style="213" customWidth="1"/>
    <col min="7" max="7" width="12.7109375" style="213" customWidth="1"/>
    <col min="8" max="16384" width="8.85546875" style="213"/>
  </cols>
  <sheetData>
    <row r="1" spans="1:99" x14ac:dyDescent="0.25">
      <c r="A1" s="369" t="s">
        <v>0</v>
      </c>
      <c r="B1" s="369"/>
      <c r="C1" s="26"/>
      <c r="D1" s="2"/>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row>
    <row r="2" spans="1:99"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row>
    <row r="3" spans="1:99" x14ac:dyDescent="0.25">
      <c r="A3" s="4" t="s">
        <v>1</v>
      </c>
      <c r="B3" s="5" t="s">
        <v>2</v>
      </c>
      <c r="C3" s="261" t="s">
        <v>835</v>
      </c>
      <c r="D3" s="26"/>
      <c r="E3" s="26"/>
      <c r="F3" s="26"/>
      <c r="G3" s="26"/>
      <c r="H3" s="26"/>
      <c r="I3" s="12"/>
      <c r="J3" s="12"/>
      <c r="K3" s="12"/>
      <c r="L3" s="12"/>
      <c r="M3" s="12"/>
      <c r="N3" s="12"/>
      <c r="O3" s="12"/>
      <c r="P3" s="12"/>
      <c r="Q3" s="12"/>
      <c r="R3" s="12"/>
      <c r="S3" s="12"/>
      <c r="T3" s="12"/>
      <c r="U3" s="12"/>
      <c r="V3" s="12"/>
      <c r="W3" s="12"/>
      <c r="X3" s="12"/>
      <c r="Y3" s="12"/>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row>
    <row r="4" spans="1:99" x14ac:dyDescent="0.25">
      <c r="A4" s="26"/>
      <c r="B4" s="26"/>
      <c r="C4" s="26"/>
      <c r="D4" s="9"/>
      <c r="E4" s="26"/>
      <c r="F4" s="12"/>
      <c r="G4" s="12"/>
      <c r="H4" s="12"/>
      <c r="I4" s="12"/>
      <c r="J4" s="12"/>
      <c r="K4" s="12"/>
      <c r="L4" s="12"/>
      <c r="M4" s="12"/>
      <c r="N4" s="12"/>
      <c r="O4" s="12"/>
      <c r="P4" s="12"/>
      <c r="Q4" s="12"/>
      <c r="R4" s="12"/>
      <c r="S4" s="12"/>
      <c r="T4" s="12"/>
      <c r="U4" s="12"/>
      <c r="V4" s="12"/>
      <c r="W4" s="12"/>
      <c r="X4" s="12"/>
      <c r="Y4" s="12"/>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row>
    <row r="5" spans="1:99" x14ac:dyDescent="0.25">
      <c r="A5" s="10">
        <v>1</v>
      </c>
      <c r="B5" s="11" t="s">
        <v>4</v>
      </c>
      <c r="C5" s="324" t="s">
        <v>754</v>
      </c>
      <c r="D5" s="325"/>
      <c r="E5" s="370"/>
      <c r="F5" s="12"/>
      <c r="G5" s="12"/>
      <c r="H5" s="12"/>
      <c r="I5" s="12"/>
      <c r="J5" s="12"/>
      <c r="K5" s="12"/>
      <c r="L5" s="12"/>
      <c r="M5" s="12"/>
      <c r="N5" s="12"/>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row>
    <row r="6" spans="1:99" x14ac:dyDescent="0.25">
      <c r="A6" s="13"/>
      <c r="B6" s="382" t="s">
        <v>6</v>
      </c>
      <c r="C6" s="382"/>
      <c r="D6" s="382"/>
      <c r="E6" s="14"/>
      <c r="F6" s="12"/>
      <c r="G6" s="12"/>
      <c r="H6" s="12"/>
      <c r="I6" s="12"/>
      <c r="J6" s="12"/>
      <c r="K6" s="12"/>
      <c r="L6" s="12"/>
      <c r="M6" s="12"/>
      <c r="N6" s="12"/>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row>
    <row r="7" spans="1:99" x14ac:dyDescent="0.25">
      <c r="A7" s="13"/>
      <c r="B7" s="15"/>
      <c r="C7" s="12"/>
      <c r="D7" s="9"/>
      <c r="E7" s="12"/>
      <c r="F7" s="12"/>
      <c r="G7" s="12"/>
      <c r="H7" s="12"/>
      <c r="I7" s="12"/>
      <c r="J7" s="12"/>
      <c r="K7" s="12"/>
      <c r="L7" s="12"/>
      <c r="M7" s="12"/>
      <c r="N7" s="1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row>
    <row r="8" spans="1:99" x14ac:dyDescent="0.25">
      <c r="A8" s="13">
        <v>2</v>
      </c>
      <c r="B8" s="11" t="s">
        <v>7</v>
      </c>
      <c r="C8" s="16" t="s">
        <v>836</v>
      </c>
      <c r="D8" s="9"/>
      <c r="E8" s="12"/>
      <c r="F8" s="12"/>
      <c r="G8" s="12"/>
      <c r="H8" s="12"/>
      <c r="I8" s="12"/>
      <c r="J8" s="12"/>
      <c r="K8" s="12"/>
      <c r="L8" s="12"/>
      <c r="M8" s="12"/>
      <c r="N8" s="12"/>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row>
    <row r="9" spans="1:99" x14ac:dyDescent="0.25">
      <c r="A9" s="13"/>
      <c r="B9" s="400" t="s">
        <v>6</v>
      </c>
      <c r="C9" s="401"/>
      <c r="D9" s="402"/>
      <c r="E9" s="12"/>
      <c r="F9" s="12"/>
      <c r="G9" s="12"/>
      <c r="H9" s="12"/>
      <c r="I9" s="12"/>
      <c r="J9" s="12"/>
      <c r="K9" s="12"/>
      <c r="L9" s="12"/>
      <c r="M9" s="12"/>
      <c r="N9" s="12"/>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row>
    <row r="10" spans="1:99" x14ac:dyDescent="0.25">
      <c r="A10" s="13"/>
      <c r="B10" s="15"/>
      <c r="C10" s="12"/>
      <c r="D10" s="9"/>
      <c r="E10" s="12"/>
      <c r="F10" s="12"/>
      <c r="G10" s="12"/>
      <c r="H10" s="12"/>
      <c r="I10" s="12"/>
      <c r="J10" s="12"/>
      <c r="K10" s="12"/>
      <c r="L10" s="12"/>
      <c r="M10" s="12"/>
      <c r="N10" s="12"/>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row>
    <row r="11" spans="1:99" ht="25.5" x14ac:dyDescent="0.25">
      <c r="A11" s="13">
        <v>3</v>
      </c>
      <c r="B11" s="11" t="s">
        <v>9</v>
      </c>
      <c r="C11" s="324" t="s">
        <v>10</v>
      </c>
      <c r="D11" s="325"/>
      <c r="E11" s="370"/>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row>
    <row r="12" spans="1:99" x14ac:dyDescent="0.25">
      <c r="A12" s="13"/>
      <c r="B12" s="382" t="s">
        <v>6</v>
      </c>
      <c r="C12" s="382"/>
      <c r="D12" s="382"/>
      <c r="E12" s="14"/>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row>
    <row r="13" spans="1:99" x14ac:dyDescent="0.25">
      <c r="A13" s="13"/>
      <c r="B13" s="15"/>
      <c r="C13" s="12"/>
      <c r="D13" s="9"/>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row>
    <row r="14" spans="1:99" x14ac:dyDescent="0.25">
      <c r="A14" s="13">
        <v>4</v>
      </c>
      <c r="B14" s="5" t="s">
        <v>11</v>
      </c>
      <c r="C14" s="261" t="s">
        <v>940</v>
      </c>
      <c r="D14" s="9"/>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row>
    <row r="15" spans="1:99" ht="13.5" x14ac:dyDescent="0.25">
      <c r="A15" s="13"/>
      <c r="B15" s="353" t="s">
        <v>13</v>
      </c>
      <c r="C15" s="385"/>
      <c r="D15" s="9"/>
      <c r="E15" s="26"/>
      <c r="F15" s="12"/>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row>
    <row r="16" spans="1:99" x14ac:dyDescent="0.25">
      <c r="A16" s="13"/>
      <c r="B16" s="26"/>
      <c r="C16" s="12"/>
      <c r="D16" s="9"/>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row>
    <row r="17" spans="1:99" x14ac:dyDescent="0.25">
      <c r="A17" s="13">
        <v>5</v>
      </c>
      <c r="B17" s="333" t="s">
        <v>14</v>
      </c>
      <c r="C17" s="372"/>
      <c r="D17" s="372"/>
      <c r="E17" s="372"/>
      <c r="F17" s="15"/>
      <c r="G17" s="15"/>
      <c r="H17" s="15"/>
      <c r="I17" s="15"/>
      <c r="J17" s="17"/>
      <c r="K17" s="17"/>
      <c r="L17" s="17"/>
      <c r="M17" s="17"/>
      <c r="N17" s="17"/>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row>
    <row r="18" spans="1:99" x14ac:dyDescent="0.25">
      <c r="A18" s="13"/>
      <c r="B18" s="268" t="s">
        <v>15</v>
      </c>
      <c r="C18" s="373" t="s">
        <v>16</v>
      </c>
      <c r="D18" s="373"/>
      <c r="E18" s="373"/>
      <c r="F18" s="19"/>
      <c r="G18" s="17"/>
      <c r="H18" s="17"/>
      <c r="I18" s="17"/>
      <c r="J18" s="17"/>
      <c r="K18" s="17"/>
      <c r="L18" s="17"/>
      <c r="M18" s="17"/>
      <c r="N18" s="17"/>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row>
    <row r="19" spans="1:99" ht="25.5" x14ac:dyDescent="0.25">
      <c r="A19" s="13"/>
      <c r="B19" s="268" t="s">
        <v>822</v>
      </c>
      <c r="C19" s="363" t="s">
        <v>16</v>
      </c>
      <c r="D19" s="363"/>
      <c r="E19" s="363"/>
      <c r="F19" s="19"/>
      <c r="G19" s="17"/>
      <c r="H19" s="26"/>
      <c r="I19" s="17"/>
      <c r="J19" s="17"/>
      <c r="K19" s="17"/>
      <c r="L19" s="17"/>
      <c r="M19" s="17"/>
      <c r="N19" s="17"/>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row>
    <row r="20" spans="1:99" x14ac:dyDescent="0.25">
      <c r="A20" s="13"/>
      <c r="B20" s="268" t="s">
        <v>664</v>
      </c>
      <c r="C20" s="363" t="s">
        <v>16</v>
      </c>
      <c r="D20" s="363"/>
      <c r="E20" s="363"/>
      <c r="F20" s="19"/>
      <c r="G20" s="17"/>
      <c r="H20" s="17"/>
      <c r="I20" s="17"/>
      <c r="J20" s="17"/>
      <c r="K20" s="17"/>
      <c r="L20" s="17"/>
      <c r="M20" s="17"/>
      <c r="N20" s="17"/>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row>
    <row r="21" spans="1:99" x14ac:dyDescent="0.25">
      <c r="A21" s="13"/>
      <c r="B21" s="268" t="s">
        <v>19</v>
      </c>
      <c r="C21" s="363" t="s">
        <v>16</v>
      </c>
      <c r="D21" s="363"/>
      <c r="E21" s="363"/>
      <c r="F21" s="19"/>
      <c r="G21" s="17"/>
      <c r="H21" s="17"/>
      <c r="I21" s="17"/>
      <c r="J21" s="17"/>
      <c r="K21" s="17"/>
      <c r="L21" s="17"/>
      <c r="M21" s="17"/>
      <c r="N21" s="17"/>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row>
    <row r="22" spans="1:99" x14ac:dyDescent="0.25">
      <c r="A22" s="13"/>
      <c r="B22" s="20" t="s">
        <v>20</v>
      </c>
      <c r="C22" s="426" t="s">
        <v>263</v>
      </c>
      <c r="D22" s="426"/>
      <c r="E22" s="426"/>
      <c r="F22" s="19"/>
      <c r="G22" s="17"/>
      <c r="H22" s="17"/>
      <c r="I22" s="17"/>
      <c r="J22" s="17"/>
      <c r="K22" s="17"/>
      <c r="L22" s="17"/>
      <c r="M22" s="17"/>
      <c r="N22" s="17"/>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row>
    <row r="23" spans="1:99" x14ac:dyDescent="0.25">
      <c r="A23" s="13"/>
      <c r="B23" s="353" t="s">
        <v>356</v>
      </c>
      <c r="C23" s="354"/>
      <c r="D23" s="354"/>
      <c r="E23" s="355"/>
      <c r="F23" s="19"/>
      <c r="G23" s="17"/>
      <c r="H23" s="17"/>
      <c r="I23" s="17"/>
      <c r="J23" s="17"/>
      <c r="K23" s="17"/>
      <c r="L23" s="17"/>
      <c r="M23" s="17"/>
      <c r="N23" s="17"/>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row>
    <row r="24" spans="1:99" x14ac:dyDescent="0.25">
      <c r="A24" s="13"/>
      <c r="B24" s="26"/>
      <c r="C24" s="17"/>
      <c r="D24" s="17"/>
      <c r="E24" s="17"/>
      <c r="F24" s="19"/>
      <c r="G24" s="17"/>
      <c r="H24" s="17"/>
      <c r="I24" s="17"/>
      <c r="J24" s="17"/>
      <c r="K24" s="17"/>
      <c r="L24" s="17"/>
      <c r="M24" s="17"/>
      <c r="N24" s="17"/>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row>
    <row r="25" spans="1:99" x14ac:dyDescent="0.25">
      <c r="A25" s="13"/>
      <c r="B25" s="19"/>
      <c r="C25" s="19"/>
      <c r="D25" s="19"/>
      <c r="E25" s="19"/>
      <c r="F25" s="19"/>
      <c r="G25" s="17"/>
      <c r="H25" s="17"/>
      <c r="I25" s="17"/>
      <c r="J25" s="17"/>
      <c r="K25" s="17"/>
      <c r="L25" s="17"/>
      <c r="M25" s="17"/>
      <c r="N25" s="17"/>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row>
    <row r="26" spans="1:99" x14ac:dyDescent="0.25">
      <c r="A26" s="13">
        <v>6</v>
      </c>
      <c r="B26" s="333" t="s">
        <v>22</v>
      </c>
      <c r="C26" s="333"/>
      <c r="D26" s="333"/>
      <c r="E26" s="333"/>
      <c r="F26" s="15"/>
      <c r="G26" s="15"/>
      <c r="H26" s="17"/>
      <c r="I26" s="15"/>
      <c r="J26" s="15"/>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row>
    <row r="27" spans="1:99" x14ac:dyDescent="0.25">
      <c r="A27" s="13"/>
      <c r="B27" s="364" t="s">
        <v>23</v>
      </c>
      <c r="C27" s="365"/>
      <c r="D27" s="365"/>
      <c r="E27" s="366"/>
      <c r="F27" s="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row>
    <row r="28" spans="1:99" x14ac:dyDescent="0.25">
      <c r="A28" s="13"/>
      <c r="B28" s="258" t="s">
        <v>24</v>
      </c>
      <c r="C28" s="266" t="s">
        <v>324</v>
      </c>
      <c r="D28" s="266" t="s">
        <v>325</v>
      </c>
      <c r="E28" s="266" t="s">
        <v>27</v>
      </c>
      <c r="F28" s="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row>
    <row r="29" spans="1:99" ht="13.15" customHeight="1" x14ac:dyDescent="0.25">
      <c r="A29" s="13"/>
      <c r="B29" s="263" t="s">
        <v>28</v>
      </c>
      <c r="C29" s="260">
        <v>5491.04</v>
      </c>
      <c r="D29" s="260">
        <v>9008.26</v>
      </c>
      <c r="E29" s="420" t="s">
        <v>265</v>
      </c>
      <c r="F29" s="19"/>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row>
    <row r="30" spans="1:99" x14ac:dyDescent="0.25">
      <c r="A30" s="13"/>
      <c r="B30" s="263" t="s">
        <v>29</v>
      </c>
      <c r="C30" s="260">
        <v>162.35</v>
      </c>
      <c r="D30" s="260">
        <v>240.73</v>
      </c>
      <c r="E30" s="421"/>
      <c r="F30" s="1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row>
    <row r="31" spans="1:99" x14ac:dyDescent="0.25">
      <c r="A31" s="13"/>
      <c r="B31" s="263" t="s">
        <v>30</v>
      </c>
      <c r="C31" s="260">
        <v>1042.4100000000001</v>
      </c>
      <c r="D31" s="260">
        <v>1042.4100000000001</v>
      </c>
      <c r="E31" s="421"/>
      <c r="F31" s="19"/>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row>
    <row r="32" spans="1:99" x14ac:dyDescent="0.25">
      <c r="A32" s="13"/>
      <c r="B32" s="263" t="s">
        <v>31</v>
      </c>
      <c r="C32" s="260"/>
      <c r="D32" s="260"/>
      <c r="E32" s="422"/>
      <c r="F32" s="19"/>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row>
    <row r="33" spans="1:99" x14ac:dyDescent="0.25">
      <c r="A33" s="13"/>
      <c r="B33" s="353" t="s">
        <v>356</v>
      </c>
      <c r="C33" s="354"/>
      <c r="D33" s="354"/>
      <c r="E33" s="355"/>
      <c r="F33" s="19"/>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row>
    <row r="34" spans="1:99" x14ac:dyDescent="0.25">
      <c r="A34" s="13"/>
      <c r="B34" s="17"/>
      <c r="C34" s="19"/>
      <c r="D34" s="19"/>
      <c r="E34" s="19"/>
      <c r="F34" s="1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row>
    <row r="35" spans="1:99" x14ac:dyDescent="0.25">
      <c r="A35" s="13">
        <v>7</v>
      </c>
      <c r="B35" s="333" t="s">
        <v>33</v>
      </c>
      <c r="C35" s="333"/>
      <c r="D35" s="333"/>
      <c r="E35" s="333"/>
      <c r="F35" s="15"/>
      <c r="G35" s="15"/>
      <c r="H35" s="15"/>
      <c r="I35" s="15"/>
      <c r="J35" s="15"/>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row>
    <row r="36" spans="1:99" x14ac:dyDescent="0.25">
      <c r="A36" s="13"/>
      <c r="B36" s="258" t="s">
        <v>34</v>
      </c>
      <c r="C36" s="260" t="s">
        <v>245</v>
      </c>
      <c r="D36" s="17"/>
      <c r="E36" s="17"/>
      <c r="F36" s="1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row>
    <row r="37" spans="1:99" x14ac:dyDescent="0.25">
      <c r="A37" s="13"/>
      <c r="B37" s="258" t="s">
        <v>36</v>
      </c>
      <c r="C37" s="260" t="s">
        <v>873</v>
      </c>
      <c r="D37" s="17"/>
      <c r="E37" s="17"/>
      <c r="F37" s="17"/>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row>
    <row r="38" spans="1:99" x14ac:dyDescent="0.25">
      <c r="A38" s="13"/>
      <c r="B38" s="259" t="s">
        <v>37</v>
      </c>
      <c r="C38" s="271" t="s">
        <v>263</v>
      </c>
      <c r="D38" s="17"/>
      <c r="E38" s="17"/>
      <c r="F38" s="17"/>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row>
    <row r="39" spans="1:99" x14ac:dyDescent="0.25">
      <c r="A39" s="13"/>
      <c r="B39" s="382" t="s">
        <v>306</v>
      </c>
      <c r="C39" s="382"/>
      <c r="D39" s="17"/>
      <c r="E39" s="17"/>
      <c r="F39" s="17"/>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row>
    <row r="40" spans="1:99" x14ac:dyDescent="0.25">
      <c r="A40" s="13"/>
      <c r="B40" s="12"/>
      <c r="C40" s="17"/>
      <c r="D40" s="17"/>
      <c r="E40" s="17"/>
      <c r="F40" s="17"/>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row>
    <row r="41" spans="1:99" x14ac:dyDescent="0.25">
      <c r="A41" s="13"/>
      <c r="B41" s="19"/>
      <c r="C41" s="17"/>
      <c r="D41" s="17"/>
      <c r="E41" s="17"/>
      <c r="F41" s="17"/>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row>
    <row r="42" spans="1:99" x14ac:dyDescent="0.25">
      <c r="A42" s="13">
        <v>8</v>
      </c>
      <c r="B42" s="333" t="s">
        <v>38</v>
      </c>
      <c r="C42" s="333"/>
      <c r="D42" s="333"/>
      <c r="E42" s="333"/>
      <c r="F42" s="15"/>
      <c r="G42" s="15"/>
      <c r="H42" s="15"/>
      <c r="I42" s="15"/>
      <c r="J42" s="15"/>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row>
    <row r="43" spans="1:99" x14ac:dyDescent="0.25">
      <c r="A43" s="13"/>
      <c r="B43" s="258" t="s">
        <v>39</v>
      </c>
      <c r="C43" s="350" t="s">
        <v>792</v>
      </c>
      <c r="D43" s="351"/>
      <c r="E43" s="352"/>
      <c r="F43" s="17"/>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row>
    <row r="44" spans="1:99" x14ac:dyDescent="0.25">
      <c r="A44" s="13"/>
      <c r="B44" s="258" t="s">
        <v>36</v>
      </c>
      <c r="C44" s="350" t="s">
        <v>815</v>
      </c>
      <c r="D44" s="351"/>
      <c r="E44" s="352"/>
      <c r="F44" s="17"/>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row>
    <row r="45" spans="1:99" x14ac:dyDescent="0.25">
      <c r="A45" s="13"/>
      <c r="B45" s="258" t="s">
        <v>37</v>
      </c>
      <c r="C45" s="367" t="s">
        <v>263</v>
      </c>
      <c r="D45" s="367"/>
      <c r="E45" s="367"/>
      <c r="F45" s="17"/>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row>
    <row r="46" spans="1:99" x14ac:dyDescent="0.25">
      <c r="A46" s="13"/>
      <c r="B46" s="353" t="s">
        <v>40</v>
      </c>
      <c r="C46" s="354"/>
      <c r="D46" s="354"/>
      <c r="E46" s="355"/>
      <c r="F46" s="17"/>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row>
    <row r="47" spans="1:99" x14ac:dyDescent="0.25">
      <c r="A47" s="4"/>
      <c r="B47" s="12"/>
      <c r="C47" s="12"/>
      <c r="D47" s="28"/>
      <c r="E47" s="17"/>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row>
    <row r="48" spans="1:99" x14ac:dyDescent="0.25">
      <c r="A48" s="29">
        <v>9</v>
      </c>
      <c r="B48" s="340" t="s">
        <v>41</v>
      </c>
      <c r="C48" s="333"/>
      <c r="D48" s="333"/>
      <c r="E48" s="333"/>
      <c r="F48" s="30"/>
      <c r="G48" s="15"/>
      <c r="H48" s="15"/>
      <c r="I48" s="1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row>
    <row r="49" spans="1:99" ht="25.5" x14ac:dyDescent="0.25">
      <c r="A49" s="29"/>
      <c r="B49" s="265" t="s">
        <v>42</v>
      </c>
      <c r="C49" s="32" t="s">
        <v>43</v>
      </c>
      <c r="D49" s="33" t="s">
        <v>44</v>
      </c>
      <c r="E49" s="32" t="s">
        <v>268</v>
      </c>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row>
    <row r="50" spans="1:99" ht="51" x14ac:dyDescent="0.25">
      <c r="A50" s="34"/>
      <c r="B50" s="94" t="s">
        <v>369</v>
      </c>
      <c r="C50" s="94" t="s">
        <v>838</v>
      </c>
      <c r="D50" s="300"/>
      <c r="E50" s="148" t="s">
        <v>248</v>
      </c>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row>
    <row r="51" spans="1:99" x14ac:dyDescent="0.25">
      <c r="A51" s="36"/>
      <c r="B51" s="345" t="s">
        <v>839</v>
      </c>
      <c r="C51" s="346"/>
      <c r="D51" s="346"/>
      <c r="E51" s="347"/>
      <c r="F51" s="19"/>
      <c r="G51" s="19"/>
      <c r="H51" s="19"/>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row>
    <row r="52" spans="1:99" x14ac:dyDescent="0.25">
      <c r="A52" s="37"/>
      <c r="B52" s="75"/>
      <c r="C52" s="28"/>
      <c r="D52" s="28"/>
      <c r="E52" s="28"/>
      <c r="F52" s="19"/>
      <c r="G52" s="19"/>
      <c r="H52" s="19"/>
      <c r="I52" s="19"/>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row>
    <row r="53" spans="1:99" x14ac:dyDescent="0.25">
      <c r="A53" s="29">
        <v>10</v>
      </c>
      <c r="B53" s="340" t="s">
        <v>41</v>
      </c>
      <c r="C53" s="333"/>
      <c r="D53" s="333"/>
      <c r="E53" s="333"/>
      <c r="F53" s="19"/>
      <c r="G53" s="19"/>
      <c r="H53" s="19"/>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row>
    <row r="54" spans="1:99" x14ac:dyDescent="0.25">
      <c r="A54" s="34"/>
      <c r="B54" s="357" t="s">
        <v>50</v>
      </c>
      <c r="C54" s="394" t="s">
        <v>840</v>
      </c>
      <c r="D54" s="395"/>
      <c r="E54" s="396"/>
      <c r="F54" s="26"/>
      <c r="G54" s="26"/>
      <c r="H54" s="26"/>
      <c r="I54" s="26"/>
      <c r="J54" s="26"/>
      <c r="K54" s="2"/>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row>
    <row r="55" spans="1:99" ht="25.5" customHeight="1" x14ac:dyDescent="0.25">
      <c r="A55" s="34"/>
      <c r="B55" s="358"/>
      <c r="C55" s="397"/>
      <c r="D55" s="398"/>
      <c r="E55" s="399"/>
      <c r="F55" s="26"/>
      <c r="G55" s="26"/>
      <c r="H55" s="26"/>
      <c r="I55" s="26"/>
      <c r="J55" s="26"/>
      <c r="K55" s="2"/>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row>
    <row r="56" spans="1:99" x14ac:dyDescent="0.25">
      <c r="A56" s="29"/>
      <c r="B56" s="39" t="s">
        <v>54</v>
      </c>
      <c r="C56" s="441" t="s">
        <v>834</v>
      </c>
      <c r="D56" s="441"/>
      <c r="E56" s="441"/>
      <c r="F56" s="26"/>
      <c r="G56" s="26"/>
      <c r="H56" s="26"/>
      <c r="I56" s="26"/>
      <c r="J56" s="26"/>
      <c r="K56" s="12"/>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row>
    <row r="57" spans="1:99" x14ac:dyDescent="0.25">
      <c r="A57" s="34"/>
      <c r="B57" s="39" t="s">
        <v>55</v>
      </c>
      <c r="C57" s="438" t="s">
        <v>56</v>
      </c>
      <c r="D57" s="439"/>
      <c r="E57" s="440"/>
      <c r="F57" s="26"/>
      <c r="G57" s="26"/>
      <c r="H57" s="26"/>
      <c r="I57" s="26"/>
      <c r="J57" s="26"/>
      <c r="K57" s="4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row>
    <row r="58" spans="1:99" x14ac:dyDescent="0.25">
      <c r="A58" s="34"/>
      <c r="B58" s="345" t="s">
        <v>767</v>
      </c>
      <c r="C58" s="346"/>
      <c r="D58" s="346"/>
      <c r="E58" s="347"/>
      <c r="F58" s="26"/>
      <c r="G58" s="26"/>
      <c r="H58" s="26"/>
      <c r="I58" s="26"/>
      <c r="J58" s="26"/>
      <c r="K58" s="4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row>
    <row r="59" spans="1:99" s="214" customFormat="1" x14ac:dyDescent="0.2">
      <c r="A59" s="41" t="s">
        <v>57</v>
      </c>
      <c r="B59" s="384" t="s">
        <v>58</v>
      </c>
      <c r="C59" s="384"/>
      <c r="D59" s="384"/>
      <c r="E59" s="384"/>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row>
    <row r="60" spans="1:99" x14ac:dyDescent="0.25">
      <c r="A60" s="48"/>
      <c r="B60" s="49"/>
      <c r="C60" s="50"/>
      <c r="D60" s="50"/>
      <c r="E60" s="50"/>
      <c r="F60" s="50"/>
      <c r="G60" s="12"/>
      <c r="H60" s="12"/>
      <c r="I60" s="12"/>
      <c r="J60" s="12"/>
      <c r="K60" s="12"/>
      <c r="L60" s="12"/>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row>
    <row r="61" spans="1:99" x14ac:dyDescent="0.25">
      <c r="A61" s="13">
        <v>11</v>
      </c>
      <c r="B61" s="5" t="s">
        <v>59</v>
      </c>
      <c r="C61" s="349" t="s">
        <v>60</v>
      </c>
      <c r="D61" s="349"/>
      <c r="E61" s="349"/>
      <c r="F61" s="15"/>
      <c r="G61" s="15"/>
      <c r="H61" s="51"/>
      <c r="I61" s="15"/>
      <c r="J61" s="15"/>
      <c r="K61" s="26"/>
      <c r="L61" s="12"/>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row>
    <row r="62" spans="1:99" x14ac:dyDescent="0.25">
      <c r="A62" s="13"/>
      <c r="B62" s="19"/>
      <c r="C62" s="19"/>
      <c r="D62" s="19"/>
      <c r="E62" s="19"/>
      <c r="F62" s="19"/>
      <c r="G62" s="19"/>
      <c r="H62" s="52"/>
      <c r="I62" s="52"/>
      <c r="J62" s="19"/>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row>
    <row r="63" spans="1:99" x14ac:dyDescent="0.25">
      <c r="A63" s="13">
        <v>12</v>
      </c>
      <c r="B63" s="15" t="s">
        <v>61</v>
      </c>
      <c r="C63" s="15"/>
      <c r="D63" s="15"/>
      <c r="E63" s="51"/>
      <c r="F63" s="51"/>
      <c r="G63" s="15"/>
      <c r="H63" s="15"/>
      <c r="I63" s="15"/>
      <c r="J63" s="15"/>
      <c r="K63" s="15"/>
      <c r="L63" s="15"/>
      <c r="M63" s="15"/>
      <c r="N63" s="15"/>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row>
    <row r="64" spans="1:99" x14ac:dyDescent="0.25">
      <c r="A64" s="13"/>
      <c r="B64" s="15"/>
      <c r="C64" s="15"/>
      <c r="D64" s="15"/>
      <c r="E64" s="51"/>
      <c r="F64" s="51"/>
      <c r="G64" s="51"/>
      <c r="H64" s="15"/>
      <c r="I64" s="15"/>
      <c r="J64" s="15"/>
      <c r="K64" s="15"/>
      <c r="L64" s="15"/>
      <c r="M64" s="15"/>
      <c r="N64" s="15"/>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row>
    <row r="65" spans="1:99" x14ac:dyDescent="0.25">
      <c r="A65" s="13"/>
      <c r="B65" s="258" t="s">
        <v>62</v>
      </c>
      <c r="C65" s="263" t="s">
        <v>841</v>
      </c>
      <c r="D65" s="19"/>
      <c r="E65" s="19"/>
      <c r="F65" s="52"/>
      <c r="G65" s="52"/>
      <c r="H65" s="19"/>
      <c r="I65" s="19"/>
      <c r="J65" s="19"/>
      <c r="K65" s="19"/>
      <c r="L65" s="19"/>
      <c r="M65" s="19"/>
      <c r="N65" s="19"/>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row>
    <row r="66" spans="1:99" x14ac:dyDescent="0.25">
      <c r="A66" s="13"/>
      <c r="B66" s="19"/>
      <c r="C66" s="19"/>
      <c r="D66" s="19"/>
      <c r="E66" s="19"/>
      <c r="F66" s="19"/>
      <c r="G66" s="19"/>
      <c r="H66" s="19"/>
      <c r="I66" s="19"/>
      <c r="J66" s="19"/>
      <c r="K66" s="19"/>
      <c r="L66" s="19"/>
      <c r="M66" s="19"/>
      <c r="N66" s="19"/>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row>
    <row r="67" spans="1:99" x14ac:dyDescent="0.25">
      <c r="A67" s="13"/>
      <c r="B67" s="333" t="s">
        <v>64</v>
      </c>
      <c r="C67" s="372" t="s">
        <v>842</v>
      </c>
      <c r="D67" s="372" t="s">
        <v>333</v>
      </c>
      <c r="E67" s="336" t="s">
        <v>294</v>
      </c>
      <c r="F67" s="327" t="s">
        <v>685</v>
      </c>
      <c r="G67" s="328"/>
      <c r="H67" s="329"/>
      <c r="I67" s="330" t="s">
        <v>69</v>
      </c>
      <c r="J67" s="330"/>
      <c r="K67" s="330"/>
      <c r="L67" s="330" t="s">
        <v>70</v>
      </c>
      <c r="M67" s="330"/>
      <c r="N67" s="330"/>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row>
    <row r="68" spans="1:99" ht="38.25" x14ac:dyDescent="0.25">
      <c r="A68" s="4"/>
      <c r="B68" s="333"/>
      <c r="C68" s="335"/>
      <c r="D68" s="335"/>
      <c r="E68" s="337"/>
      <c r="F68" s="258" t="s">
        <v>71</v>
      </c>
      <c r="G68" s="258" t="s">
        <v>72</v>
      </c>
      <c r="H68" s="258" t="s">
        <v>73</v>
      </c>
      <c r="I68" s="258" t="s">
        <v>74</v>
      </c>
      <c r="J68" s="258" t="s">
        <v>72</v>
      </c>
      <c r="K68" s="258" t="s">
        <v>73</v>
      </c>
      <c r="L68" s="258" t="s">
        <v>74</v>
      </c>
      <c r="M68" s="258" t="s">
        <v>72</v>
      </c>
      <c r="N68" s="258" t="s">
        <v>73</v>
      </c>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row>
    <row r="69" spans="1:99" x14ac:dyDescent="0.25">
      <c r="A69" s="4"/>
      <c r="B69" s="258" t="s">
        <v>165</v>
      </c>
      <c r="C69" s="131">
        <v>41.3</v>
      </c>
      <c r="D69" s="53">
        <v>41</v>
      </c>
      <c r="E69" s="53">
        <v>42</v>
      </c>
      <c r="F69" s="53">
        <v>40.9</v>
      </c>
      <c r="G69" s="53">
        <v>42.7</v>
      </c>
      <c r="H69" s="53">
        <v>40.9</v>
      </c>
      <c r="I69" s="53">
        <v>47</v>
      </c>
      <c r="J69" s="53">
        <v>47</v>
      </c>
      <c r="K69" s="53">
        <v>40.200000000000003</v>
      </c>
      <c r="L69" s="53" t="s">
        <v>48</v>
      </c>
      <c r="M69" s="53" t="s">
        <v>48</v>
      </c>
      <c r="N69" s="53" t="s">
        <v>48</v>
      </c>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row>
    <row r="70" spans="1:99" ht="25.5" x14ac:dyDescent="0.25">
      <c r="A70" s="4"/>
      <c r="B70" s="258" t="s">
        <v>686</v>
      </c>
      <c r="C70" s="131">
        <v>41155.120000000003</v>
      </c>
      <c r="D70" s="131">
        <v>40281.199999999997</v>
      </c>
      <c r="E70" s="53">
        <v>31743.08</v>
      </c>
      <c r="F70" s="53">
        <v>29468.49</v>
      </c>
      <c r="G70" s="53">
        <v>33103.24</v>
      </c>
      <c r="H70" s="53">
        <v>25638.9</v>
      </c>
      <c r="I70" s="53">
        <v>14690.7</v>
      </c>
      <c r="J70" s="53">
        <v>15431.75</v>
      </c>
      <c r="K70" s="53">
        <v>8055.8</v>
      </c>
      <c r="L70" s="53" t="s">
        <v>48</v>
      </c>
      <c r="M70" s="53" t="s">
        <v>48</v>
      </c>
      <c r="N70" s="53" t="s">
        <v>48</v>
      </c>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row>
    <row r="71" spans="1:99" ht="13.5" x14ac:dyDescent="0.25">
      <c r="A71" s="4"/>
      <c r="B71" s="383" t="s">
        <v>156</v>
      </c>
      <c r="C71" s="434"/>
      <c r="D71" s="434"/>
      <c r="E71" s="383"/>
      <c r="F71" s="383"/>
      <c r="G71" s="383"/>
      <c r="H71" s="383"/>
      <c r="I71" s="383"/>
      <c r="J71" s="383"/>
      <c r="K71" s="383"/>
      <c r="L71" s="383"/>
      <c r="M71" s="383"/>
      <c r="N71" s="383"/>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row>
    <row r="72" spans="1:99" x14ac:dyDescent="0.25">
      <c r="A72" s="4"/>
      <c r="B72" s="382" t="s">
        <v>79</v>
      </c>
      <c r="C72" s="382"/>
      <c r="D72" s="382"/>
      <c r="E72" s="382"/>
      <c r="F72" s="382"/>
      <c r="G72" s="382"/>
      <c r="H72" s="382"/>
      <c r="I72" s="382"/>
      <c r="J72" s="382"/>
      <c r="K72" s="382"/>
      <c r="L72" s="382"/>
      <c r="M72" s="382"/>
      <c r="N72" s="382"/>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row>
    <row r="73" spans="1:99" s="215" customFormat="1" x14ac:dyDescent="0.25">
      <c r="A73" s="57"/>
      <c r="B73" s="382" t="s">
        <v>80</v>
      </c>
      <c r="C73" s="382"/>
      <c r="D73" s="382"/>
      <c r="E73" s="382"/>
      <c r="F73" s="382"/>
      <c r="G73" s="382"/>
      <c r="H73" s="382"/>
      <c r="I73" s="382"/>
      <c r="J73" s="382"/>
      <c r="K73" s="382"/>
      <c r="L73" s="382"/>
      <c r="M73" s="382"/>
      <c r="N73" s="382"/>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row>
    <row r="74" spans="1:99" x14ac:dyDescent="0.25">
      <c r="A74" s="4"/>
      <c r="B74" s="382" t="s">
        <v>420</v>
      </c>
      <c r="C74" s="382"/>
      <c r="D74" s="382"/>
      <c r="E74" s="382"/>
      <c r="F74" s="382"/>
      <c r="G74" s="382"/>
      <c r="H74" s="382"/>
      <c r="I74" s="382"/>
      <c r="J74" s="382"/>
      <c r="K74" s="382"/>
      <c r="L74" s="382"/>
      <c r="M74" s="382"/>
      <c r="N74" s="382"/>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row>
    <row r="75" spans="1:99" x14ac:dyDescent="0.25">
      <c r="A75" s="4"/>
      <c r="B75" s="382" t="s">
        <v>82</v>
      </c>
      <c r="C75" s="382"/>
      <c r="D75" s="382"/>
      <c r="E75" s="382"/>
      <c r="F75" s="382"/>
      <c r="G75" s="382"/>
      <c r="H75" s="382"/>
      <c r="I75" s="382"/>
      <c r="J75" s="382"/>
      <c r="K75" s="382"/>
      <c r="L75" s="382"/>
      <c r="M75" s="382"/>
      <c r="N75" s="382"/>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row>
    <row r="76" spans="1:99" x14ac:dyDescent="0.25">
      <c r="A76" s="4"/>
      <c r="B76" s="58"/>
      <c r="C76" s="58"/>
      <c r="D76" s="58"/>
      <c r="E76" s="58"/>
      <c r="F76" s="58"/>
      <c r="G76" s="17"/>
      <c r="H76" s="17"/>
      <c r="I76" s="17"/>
      <c r="J76" s="17"/>
      <c r="K76" s="17"/>
      <c r="L76" s="17"/>
      <c r="M76" s="17"/>
      <c r="N76" s="17"/>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row>
    <row r="77" spans="1:99" x14ac:dyDescent="0.25">
      <c r="A77" s="13">
        <v>13</v>
      </c>
      <c r="B77" s="338" t="s">
        <v>83</v>
      </c>
      <c r="C77" s="339"/>
      <c r="D77" s="339"/>
      <c r="E77" s="339"/>
      <c r="F77" s="339"/>
      <c r="G77" s="340"/>
      <c r="H77" s="15"/>
      <c r="I77" s="15"/>
      <c r="J77" s="15"/>
      <c r="K77" s="15"/>
      <c r="L77" s="15"/>
      <c r="M77" s="15"/>
      <c r="N77" s="15"/>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row>
    <row r="78" spans="1:99" x14ac:dyDescent="0.25">
      <c r="A78" s="13"/>
      <c r="B78" s="26"/>
      <c r="C78" s="19"/>
      <c r="D78" s="19"/>
      <c r="E78" s="19"/>
      <c r="F78" s="19"/>
      <c r="G78" s="19"/>
      <c r="H78" s="19"/>
      <c r="I78" s="19"/>
      <c r="J78" s="19"/>
      <c r="K78" s="19"/>
      <c r="L78" s="19"/>
      <c r="M78" s="19"/>
      <c r="N78" s="19"/>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row>
    <row r="79" spans="1:99" ht="102" x14ac:dyDescent="0.25">
      <c r="A79" s="4"/>
      <c r="B79" s="264" t="s">
        <v>84</v>
      </c>
      <c r="C79" s="266" t="s">
        <v>85</v>
      </c>
      <c r="D79" s="266" t="s">
        <v>86</v>
      </c>
      <c r="E79" s="266" t="s">
        <v>280</v>
      </c>
      <c r="F79" s="266" t="s">
        <v>88</v>
      </c>
      <c r="G79" s="266" t="s">
        <v>169</v>
      </c>
      <c r="H79" s="17"/>
      <c r="I79" s="17"/>
      <c r="J79" s="17"/>
      <c r="K79" s="17"/>
      <c r="L79" s="17"/>
      <c r="M79" s="17"/>
      <c r="N79" s="17"/>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row>
    <row r="80" spans="1:99" ht="13.15" customHeight="1" x14ac:dyDescent="0.2">
      <c r="A80" s="4"/>
      <c r="B80" s="316" t="s">
        <v>90</v>
      </c>
      <c r="C80" s="5" t="s">
        <v>844</v>
      </c>
      <c r="D80" s="91">
        <v>3.76</v>
      </c>
      <c r="E80" s="91">
        <v>1.88</v>
      </c>
      <c r="F80" s="91">
        <v>2.31</v>
      </c>
      <c r="G80" s="412" t="s">
        <v>282</v>
      </c>
      <c r="H80" s="62"/>
      <c r="I80" s="62"/>
      <c r="J80" s="62"/>
      <c r="K80" s="62"/>
      <c r="L80" s="62"/>
      <c r="M80" s="62"/>
      <c r="N80" s="62"/>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row>
    <row r="81" spans="1:99" x14ac:dyDescent="0.25">
      <c r="A81" s="4"/>
      <c r="B81" s="316"/>
      <c r="C81" s="5" t="s">
        <v>92</v>
      </c>
      <c r="D81" s="262"/>
      <c r="E81" s="262"/>
      <c r="F81" s="262"/>
      <c r="G81" s="413"/>
      <c r="H81" s="62"/>
      <c r="I81" s="62"/>
      <c r="J81" s="62"/>
      <c r="K81" s="62"/>
      <c r="L81" s="62"/>
      <c r="M81" s="62"/>
      <c r="N81" s="62"/>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row>
    <row r="82" spans="1:99" x14ac:dyDescent="0.25">
      <c r="A82" s="4"/>
      <c r="B82" s="316"/>
      <c r="C82" s="25" t="s">
        <v>843</v>
      </c>
      <c r="D82" s="262">
        <v>3.61</v>
      </c>
      <c r="E82" s="262">
        <v>0.92</v>
      </c>
      <c r="F82" s="262">
        <v>2</v>
      </c>
      <c r="G82" s="413"/>
      <c r="H82" s="62"/>
      <c r="I82" s="62"/>
      <c r="J82" s="62"/>
      <c r="K82" s="62"/>
      <c r="L82" s="62"/>
      <c r="M82" s="62"/>
      <c r="N82" s="62"/>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row>
    <row r="83" spans="1:99" ht="25.5" x14ac:dyDescent="0.25">
      <c r="A83" s="4"/>
      <c r="B83" s="316"/>
      <c r="C83" s="25" t="s">
        <v>845</v>
      </c>
      <c r="D83" s="262">
        <v>2.87</v>
      </c>
      <c r="E83" s="262" t="s">
        <v>941</v>
      </c>
      <c r="F83" s="262" t="s">
        <v>941</v>
      </c>
      <c r="G83" s="413"/>
      <c r="H83" s="62"/>
      <c r="I83" s="62"/>
      <c r="J83" s="62"/>
      <c r="K83" s="62"/>
      <c r="L83" s="62"/>
      <c r="M83" s="62"/>
      <c r="N83" s="62"/>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row>
    <row r="84" spans="1:99" ht="25.5" x14ac:dyDescent="0.25">
      <c r="A84" s="4"/>
      <c r="B84" s="316"/>
      <c r="C84" s="25" t="s">
        <v>846</v>
      </c>
      <c r="D84" s="262">
        <v>13.32</v>
      </c>
      <c r="E84" s="262">
        <v>11.6</v>
      </c>
      <c r="F84" s="262">
        <v>9.25</v>
      </c>
      <c r="G84" s="413"/>
      <c r="H84" s="62"/>
      <c r="I84" s="62"/>
      <c r="J84" s="62"/>
      <c r="K84" s="62"/>
      <c r="L84" s="62"/>
      <c r="M84" s="62"/>
      <c r="N84" s="62"/>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row>
    <row r="85" spans="1:99" x14ac:dyDescent="0.25">
      <c r="A85" s="4"/>
      <c r="B85" s="316"/>
      <c r="C85" s="5" t="s">
        <v>93</v>
      </c>
      <c r="D85" s="92"/>
      <c r="E85" s="164">
        <f>(E84+E82)/2</f>
        <v>6.26</v>
      </c>
      <c r="F85" s="164">
        <f>(F84+F82)/2</f>
        <v>5.625</v>
      </c>
      <c r="G85" s="413"/>
      <c r="H85" s="62"/>
      <c r="I85" s="62"/>
      <c r="J85" s="62"/>
      <c r="K85" s="62"/>
      <c r="L85" s="62"/>
      <c r="M85" s="62"/>
      <c r="N85" s="62"/>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row>
    <row r="86" spans="1:99" x14ac:dyDescent="0.2">
      <c r="A86" s="4"/>
      <c r="B86" s="316" t="s">
        <v>94</v>
      </c>
      <c r="C86" s="5" t="s">
        <v>844</v>
      </c>
      <c r="D86" s="93">
        <v>10.64</v>
      </c>
      <c r="E86" s="93">
        <f>F69/E80</f>
        <v>21.75531914893617</v>
      </c>
      <c r="F86" s="93">
        <f>I69/F80</f>
        <v>20.346320346320347</v>
      </c>
      <c r="G86" s="413"/>
      <c r="H86" s="62"/>
      <c r="I86" s="62"/>
      <c r="J86" s="62"/>
      <c r="K86" s="62"/>
      <c r="L86" s="62"/>
      <c r="M86" s="62"/>
      <c r="N86" s="62"/>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row>
    <row r="87" spans="1:99" x14ac:dyDescent="0.25">
      <c r="A87" s="4"/>
      <c r="B87" s="316"/>
      <c r="C87" s="5" t="s">
        <v>92</v>
      </c>
      <c r="D87" s="262"/>
      <c r="E87" s="262"/>
      <c r="F87" s="262"/>
      <c r="G87" s="413"/>
      <c r="H87" s="62"/>
      <c r="I87" s="62"/>
      <c r="J87" s="62"/>
      <c r="K87" s="62"/>
      <c r="L87" s="62"/>
      <c r="M87" s="62"/>
      <c r="N87" s="62"/>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row>
    <row r="88" spans="1:99" x14ac:dyDescent="0.25">
      <c r="A88" s="4"/>
      <c r="B88" s="316"/>
      <c r="C88" s="25" t="s">
        <v>843</v>
      </c>
      <c r="D88" s="262">
        <v>5.68</v>
      </c>
      <c r="E88" s="262">
        <f>10.16/E82</f>
        <v>11.043478260869565</v>
      </c>
      <c r="F88" s="262">
        <f>19.9/F82</f>
        <v>9.9499999999999993</v>
      </c>
      <c r="G88" s="413"/>
      <c r="H88" s="62"/>
      <c r="I88" s="62"/>
      <c r="J88" s="62"/>
      <c r="K88" s="62"/>
      <c r="L88" s="62"/>
      <c r="M88" s="62"/>
      <c r="N88" s="62"/>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row>
    <row r="89" spans="1:99" ht="25.5" x14ac:dyDescent="0.25">
      <c r="A89" s="4"/>
      <c r="B89" s="316"/>
      <c r="C89" s="25" t="s">
        <v>845</v>
      </c>
      <c r="D89" s="262">
        <v>29.41</v>
      </c>
      <c r="E89" s="262" t="s">
        <v>941</v>
      </c>
      <c r="F89" s="262" t="s">
        <v>941</v>
      </c>
      <c r="G89" s="413"/>
      <c r="H89" s="62"/>
      <c r="I89" s="62"/>
      <c r="J89" s="62"/>
      <c r="K89" s="62"/>
      <c r="L89" s="62"/>
      <c r="M89" s="62"/>
      <c r="N89" s="62"/>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row>
    <row r="90" spans="1:99" ht="25.5" x14ac:dyDescent="0.25">
      <c r="A90" s="4"/>
      <c r="B90" s="316"/>
      <c r="C90" s="25" t="s">
        <v>846</v>
      </c>
      <c r="D90" s="262">
        <v>7.82</v>
      </c>
      <c r="E90" s="262">
        <f>73.9/E84</f>
        <v>6.3706896551724146</v>
      </c>
      <c r="F90" s="262">
        <f>136.7/F84</f>
        <v>14.778378378378378</v>
      </c>
      <c r="G90" s="413"/>
      <c r="H90" s="62"/>
      <c r="I90" s="62"/>
      <c r="J90" s="62"/>
      <c r="K90" s="62"/>
      <c r="L90" s="62"/>
      <c r="M90" s="62"/>
      <c r="N90" s="62"/>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row>
    <row r="91" spans="1:99" x14ac:dyDescent="0.25">
      <c r="A91" s="4"/>
      <c r="B91" s="316"/>
      <c r="C91" s="5" t="s">
        <v>93</v>
      </c>
      <c r="D91" s="92"/>
      <c r="E91" s="164">
        <f>SUM(E90+E88)/2</f>
        <v>8.7070839580209896</v>
      </c>
      <c r="F91" s="164">
        <f>SUM(F90+F88)/2</f>
        <v>12.364189189189188</v>
      </c>
      <c r="G91" s="413"/>
      <c r="H91" s="62"/>
      <c r="I91" s="62"/>
      <c r="J91" s="62"/>
      <c r="K91" s="62"/>
      <c r="L91" s="62"/>
      <c r="M91" s="62"/>
      <c r="N91" s="62"/>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row>
    <row r="92" spans="1:99" x14ac:dyDescent="0.2">
      <c r="A92" s="4"/>
      <c r="B92" s="316" t="s">
        <v>95</v>
      </c>
      <c r="C92" s="5" t="s">
        <v>844</v>
      </c>
      <c r="D92" s="91">
        <v>14.53</v>
      </c>
      <c r="E92" s="93">
        <f>C30/3438.18*100</f>
        <v>4.7219749984003165</v>
      </c>
      <c r="F92" s="93">
        <f>D30/3650.03*100</f>
        <v>6.5952882579047287</v>
      </c>
      <c r="G92" s="413"/>
      <c r="H92" s="62"/>
      <c r="I92" s="62"/>
      <c r="J92" s="62"/>
      <c r="K92" s="62"/>
      <c r="L92" s="62"/>
      <c r="M92" s="62"/>
      <c r="N92" s="62"/>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row>
    <row r="93" spans="1:99" x14ac:dyDescent="0.25">
      <c r="A93" s="4"/>
      <c r="B93" s="316"/>
      <c r="C93" s="5" t="s">
        <v>92</v>
      </c>
      <c r="D93" s="262"/>
      <c r="E93" s="262"/>
      <c r="F93" s="262"/>
      <c r="G93" s="413"/>
      <c r="H93" s="62"/>
      <c r="I93" s="62"/>
      <c r="J93" s="62"/>
      <c r="K93" s="62"/>
      <c r="L93" s="62"/>
      <c r="M93" s="62"/>
      <c r="N93" s="62"/>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row>
    <row r="94" spans="1:99" x14ac:dyDescent="0.25">
      <c r="A94" s="4"/>
      <c r="B94" s="316"/>
      <c r="C94" s="25" t="s">
        <v>843</v>
      </c>
      <c r="D94" s="262">
        <v>12.04</v>
      </c>
      <c r="E94" s="262">
        <v>3.09</v>
      </c>
      <c r="F94" s="262">
        <v>6.26</v>
      </c>
      <c r="G94" s="413"/>
      <c r="H94" s="62"/>
      <c r="I94" s="62">
        <f>1042.41+2395.77</f>
        <v>3438.1800000000003</v>
      </c>
      <c r="J94" s="62"/>
      <c r="K94" s="62"/>
      <c r="L94" s="62"/>
      <c r="M94" s="62"/>
      <c r="N94" s="62"/>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row>
    <row r="95" spans="1:99" ht="25.5" x14ac:dyDescent="0.25">
      <c r="A95" s="4"/>
      <c r="B95" s="316"/>
      <c r="C95" s="25" t="s">
        <v>845</v>
      </c>
      <c r="D95" s="262">
        <v>13.55</v>
      </c>
      <c r="E95" s="262" t="s">
        <v>941</v>
      </c>
      <c r="F95" s="262" t="s">
        <v>941</v>
      </c>
      <c r="G95" s="413"/>
      <c r="H95" s="62"/>
      <c r="I95" s="62"/>
      <c r="J95" s="62"/>
      <c r="K95" s="62"/>
      <c r="L95" s="62"/>
      <c r="M95" s="62"/>
      <c r="N95" s="62"/>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row>
    <row r="96" spans="1:99" ht="25.5" x14ac:dyDescent="0.25">
      <c r="A96" s="4"/>
      <c r="B96" s="316"/>
      <c r="C96" s="25" t="s">
        <v>846</v>
      </c>
      <c r="D96" s="262">
        <v>14.36</v>
      </c>
      <c r="E96" s="262">
        <v>11.66</v>
      </c>
      <c r="F96" s="262">
        <v>8.42</v>
      </c>
      <c r="G96" s="413"/>
      <c r="H96" s="62"/>
      <c r="I96" s="62"/>
      <c r="J96" s="62"/>
      <c r="K96" s="62"/>
      <c r="L96" s="62"/>
      <c r="M96" s="62"/>
      <c r="N96" s="62"/>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row>
    <row r="97" spans="1:99" x14ac:dyDescent="0.25">
      <c r="A97" s="4"/>
      <c r="B97" s="316"/>
      <c r="C97" s="5" t="s">
        <v>93</v>
      </c>
      <c r="D97" s="92"/>
      <c r="E97" s="164">
        <f>(E96+E94)/2</f>
        <v>7.375</v>
      </c>
      <c r="F97" s="164">
        <f>SUM(F96+F94)/2</f>
        <v>7.34</v>
      </c>
      <c r="G97" s="413"/>
      <c r="H97" s="62"/>
      <c r="I97" s="62"/>
      <c r="J97" s="62"/>
      <c r="K97" s="66"/>
      <c r="L97" s="62"/>
      <c r="M97" s="62"/>
      <c r="N97" s="62"/>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row>
    <row r="98" spans="1:99" x14ac:dyDescent="0.2">
      <c r="A98" s="4"/>
      <c r="B98" s="316" t="s">
        <v>96</v>
      </c>
      <c r="C98" s="5" t="s">
        <v>844</v>
      </c>
      <c r="D98" s="91">
        <v>25.86</v>
      </c>
      <c r="E98" s="93">
        <f>3438.18/10.4241</f>
        <v>329.82991337381645</v>
      </c>
      <c r="F98" s="93">
        <f>3650.03/10.4241</f>
        <v>350.15301081148499</v>
      </c>
      <c r="G98" s="413"/>
      <c r="H98" s="62"/>
      <c r="I98" s="62"/>
      <c r="J98" s="62"/>
      <c r="K98" s="62"/>
      <c r="L98" s="62"/>
      <c r="M98" s="62"/>
      <c r="N98" s="62"/>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row>
    <row r="99" spans="1:99" x14ac:dyDescent="0.25">
      <c r="A99" s="4"/>
      <c r="B99" s="316"/>
      <c r="C99" s="5" t="s">
        <v>92</v>
      </c>
      <c r="D99" s="262"/>
      <c r="E99" s="262"/>
      <c r="F99" s="262"/>
      <c r="G99" s="413"/>
      <c r="H99" s="62"/>
      <c r="I99" s="62"/>
      <c r="J99" s="62"/>
      <c r="K99" s="62"/>
      <c r="L99" s="62"/>
      <c r="M99" s="62"/>
      <c r="N99" s="62"/>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row>
    <row r="100" spans="1:99" x14ac:dyDescent="0.25">
      <c r="A100" s="4"/>
      <c r="B100" s="386"/>
      <c r="C100" s="25" t="s">
        <v>843</v>
      </c>
      <c r="D100" s="262">
        <v>30.55</v>
      </c>
      <c r="E100" s="262">
        <v>29.92</v>
      </c>
      <c r="F100" s="262">
        <v>31.92</v>
      </c>
      <c r="G100" s="413"/>
      <c r="H100" s="62"/>
      <c r="I100" s="62"/>
      <c r="J100" s="62"/>
      <c r="K100" s="62"/>
      <c r="L100" s="62"/>
      <c r="M100" s="62"/>
      <c r="N100" s="62"/>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row>
    <row r="101" spans="1:99" ht="25.5" x14ac:dyDescent="0.25">
      <c r="A101" s="4"/>
      <c r="B101" s="386"/>
      <c r="C101" s="25" t="s">
        <v>845</v>
      </c>
      <c r="D101" s="262">
        <v>20.83</v>
      </c>
      <c r="E101" s="262" t="s">
        <v>941</v>
      </c>
      <c r="F101" s="262" t="s">
        <v>941</v>
      </c>
      <c r="G101" s="413"/>
      <c r="H101" s="62"/>
      <c r="I101" s="62"/>
      <c r="J101" s="62"/>
      <c r="K101" s="62"/>
      <c r="L101" s="62"/>
      <c r="M101" s="62"/>
      <c r="N101" s="62"/>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row>
    <row r="102" spans="1:99" ht="25.5" x14ac:dyDescent="0.25">
      <c r="A102" s="4"/>
      <c r="B102" s="386"/>
      <c r="C102" s="25" t="s">
        <v>846</v>
      </c>
      <c r="D102" s="262">
        <v>92.57</v>
      </c>
      <c r="E102" s="262">
        <v>99.3</v>
      </c>
      <c r="F102" s="262">
        <v>109.93</v>
      </c>
      <c r="G102" s="413"/>
      <c r="H102" s="62"/>
      <c r="I102" s="62"/>
      <c r="J102" s="62"/>
      <c r="K102" s="62"/>
      <c r="L102" s="62"/>
      <c r="M102" s="62"/>
      <c r="N102" s="62"/>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row>
    <row r="103" spans="1:99" x14ac:dyDescent="0.25">
      <c r="A103" s="4"/>
      <c r="B103" s="386"/>
      <c r="C103" s="5" t="s">
        <v>93</v>
      </c>
      <c r="D103" s="92"/>
      <c r="E103" s="164">
        <f>SUM(E102+E100)/2</f>
        <v>64.61</v>
      </c>
      <c r="F103" s="164">
        <f>SUM(F102+F100)/2</f>
        <v>70.925000000000011</v>
      </c>
      <c r="G103" s="413"/>
      <c r="H103" s="62"/>
      <c r="I103" s="62"/>
      <c r="J103" s="62"/>
      <c r="K103" s="62"/>
      <c r="L103" s="62"/>
      <c r="M103" s="62"/>
      <c r="N103" s="62"/>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row>
    <row r="104" spans="1:99" s="215" customFormat="1" x14ac:dyDescent="0.25">
      <c r="A104" s="57"/>
      <c r="B104" s="387"/>
      <c r="C104" s="388"/>
      <c r="D104" s="388"/>
      <c r="E104" s="388"/>
      <c r="F104" s="388"/>
      <c r="G104" s="389"/>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row>
    <row r="105" spans="1:99" x14ac:dyDescent="0.25">
      <c r="A105" s="4"/>
      <c r="B105" s="376" t="s">
        <v>847</v>
      </c>
      <c r="C105" s="377"/>
      <c r="D105" s="377"/>
      <c r="E105" s="377"/>
      <c r="F105" s="377"/>
      <c r="G105" s="378"/>
      <c r="H105" s="62"/>
      <c r="I105" s="62"/>
      <c r="J105" s="62"/>
      <c r="K105" s="62"/>
      <c r="L105" s="62"/>
      <c r="M105" s="62"/>
      <c r="N105" s="62"/>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row>
    <row r="106" spans="1:99" x14ac:dyDescent="0.25">
      <c r="A106" s="4"/>
      <c r="B106" s="379" t="s">
        <v>128</v>
      </c>
      <c r="C106" s="380"/>
      <c r="D106" s="380"/>
      <c r="E106" s="380"/>
      <c r="F106" s="380"/>
      <c r="G106" s="381"/>
      <c r="H106" s="62"/>
      <c r="I106" s="62"/>
      <c r="J106" s="62"/>
      <c r="K106" s="62"/>
      <c r="L106" s="62"/>
      <c r="M106" s="62"/>
      <c r="N106" s="62"/>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row>
    <row r="107" spans="1:99" x14ac:dyDescent="0.25">
      <c r="A107" s="4"/>
      <c r="B107" s="353"/>
      <c r="C107" s="354"/>
      <c r="D107" s="354"/>
      <c r="E107" s="354"/>
      <c r="F107" s="354"/>
      <c r="G107" s="355"/>
      <c r="H107" s="62"/>
      <c r="I107" s="62"/>
      <c r="J107" s="62"/>
      <c r="K107" s="62"/>
      <c r="L107" s="62"/>
      <c r="M107" s="62"/>
      <c r="N107" s="62"/>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row>
    <row r="108" spans="1:99" x14ac:dyDescent="0.25">
      <c r="A108" s="26"/>
      <c r="B108" s="12"/>
      <c r="C108" s="323"/>
      <c r="D108" s="323"/>
      <c r="E108" s="323"/>
      <c r="F108" s="323"/>
      <c r="G108" s="323"/>
      <c r="H108" s="62"/>
      <c r="I108" s="62"/>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row>
    <row r="109" spans="1:99" x14ac:dyDescent="0.25">
      <c r="A109" s="13">
        <v>14</v>
      </c>
      <c r="B109" s="70" t="s">
        <v>99</v>
      </c>
      <c r="C109" s="324" t="s">
        <v>48</v>
      </c>
      <c r="D109" s="325"/>
      <c r="E109" s="325"/>
      <c r="F109" s="325"/>
      <c r="G109" s="3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row>
    <row r="110" spans="1:99" x14ac:dyDescent="0.25">
      <c r="A110" s="269"/>
      <c r="B110" s="26"/>
      <c r="C110" s="84"/>
      <c r="D110" s="84"/>
      <c r="E110" s="84"/>
      <c r="F110" s="84"/>
      <c r="G110" s="84"/>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row>
    <row r="111" spans="1:99" x14ac:dyDescent="0.25">
      <c r="A111" s="26"/>
      <c r="B111" s="26"/>
      <c r="C111" s="84"/>
      <c r="D111" s="84"/>
      <c r="E111" s="84"/>
      <c r="F111" s="84"/>
      <c r="G111" s="84"/>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row>
    <row r="112" spans="1:99"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row>
    <row r="113" spans="1:99" x14ac:dyDescent="0.25">
      <c r="A113" s="26"/>
      <c r="B113" s="374" t="s">
        <v>837</v>
      </c>
      <c r="C113" s="375"/>
      <c r="D113" s="375"/>
      <c r="E113" s="375"/>
      <c r="F113" s="375"/>
      <c r="G113" s="375"/>
      <c r="H113" s="375"/>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row>
    <row r="114" spans="1:99"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row>
    <row r="115" spans="1:99"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row>
    <row r="116" spans="1:99"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row>
    <row r="117" spans="1:99"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row>
    <row r="118" spans="1:99" x14ac:dyDescent="0.25">
      <c r="A118" s="26"/>
      <c r="B118" s="26"/>
      <c r="C118" s="26"/>
      <c r="D118" s="242"/>
      <c r="E118" s="242"/>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row>
    <row r="119" spans="1:99" x14ac:dyDescent="0.25">
      <c r="A119" s="26"/>
      <c r="B119" s="26"/>
      <c r="C119" s="26"/>
      <c r="D119" s="26"/>
      <c r="E119" s="242"/>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row>
    <row r="120" spans="1:99"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row>
    <row r="121" spans="1:99"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row>
    <row r="122" spans="1:99"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row>
    <row r="123" spans="1:99"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row>
    <row r="124" spans="1:99"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row>
    <row r="125" spans="1:99"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row>
    <row r="126" spans="1:99"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row>
    <row r="127" spans="1:99"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row>
    <row r="128" spans="1:99"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row>
    <row r="129" spans="1:99"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row>
    <row r="130" spans="1:99"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row>
    <row r="131" spans="1:99"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row>
    <row r="132" spans="1:99"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row>
    <row r="133" spans="1:99"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row>
    <row r="134" spans="1:99"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row>
    <row r="135" spans="1:99"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row>
    <row r="136" spans="1:99"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row>
    <row r="137" spans="1:99"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row>
    <row r="138" spans="1:99"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row>
    <row r="139" spans="1:99"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row>
    <row r="140" spans="1:99"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row>
    <row r="141" spans="1:99"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row>
    <row r="142" spans="1:99"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row>
    <row r="143" spans="1:99"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row>
    <row r="144" spans="1:99"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row>
    <row r="145" spans="1:99"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row>
    <row r="146" spans="1:99"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row>
    <row r="147" spans="1:99"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row>
    <row r="148" spans="1:99"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row>
    <row r="149" spans="1:99"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row>
    <row r="150" spans="1:99"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row>
    <row r="151" spans="1:99"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row>
    <row r="152" spans="1:99"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row>
    <row r="153" spans="1:99"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row>
    <row r="154" spans="1:99"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row>
    <row r="155" spans="1:99"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row>
    <row r="156" spans="1:99"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row>
    <row r="157" spans="1:99"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row>
    <row r="158" spans="1:99"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row>
    <row r="159" spans="1:99"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row>
    <row r="160" spans="1:99"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row>
    <row r="161" spans="1:99"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row>
    <row r="162" spans="1:99"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row>
    <row r="163" spans="1:99"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row>
    <row r="164" spans="1:99"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row>
    <row r="165" spans="1:99"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row>
    <row r="166" spans="1:99"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row>
    <row r="167" spans="1:99"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row>
    <row r="168" spans="1:99"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row>
    <row r="169" spans="1:99"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row>
    <row r="170" spans="1:99"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row>
    <row r="171" spans="1:99"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row>
    <row r="172" spans="1:99"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row>
    <row r="173" spans="1:99"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row>
    <row r="174" spans="1:99"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row>
    <row r="175" spans="1:99"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row>
    <row r="176" spans="1:99"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row>
    <row r="177" spans="1:99"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row>
    <row r="178" spans="1:99"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row>
    <row r="179" spans="1:99"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row>
    <row r="180" spans="1:99"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row>
    <row r="181" spans="1:99"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row>
    <row r="182" spans="1:99"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row>
    <row r="183" spans="1:99"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row>
    <row r="184" spans="1:99"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row>
    <row r="185" spans="1:99"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row>
    <row r="186" spans="1:99"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row>
    <row r="187" spans="1:99"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row>
    <row r="188" spans="1:99"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row>
    <row r="189" spans="1:99"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row>
    <row r="190" spans="1:99"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row>
    <row r="191" spans="1:99"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row>
    <row r="192" spans="1:99"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row>
    <row r="193" spans="1:99"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row>
    <row r="194" spans="1:99"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row>
    <row r="195" spans="1:99"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row>
    <row r="196" spans="1:99"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row>
    <row r="197" spans="1:99"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row>
    <row r="198" spans="1:99"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row>
    <row r="199" spans="1:99"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row>
    <row r="200" spans="1:99"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row>
    <row r="201" spans="1:99"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row>
    <row r="202" spans="1:99"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row>
    <row r="203" spans="1:99"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row>
    <row r="204" spans="1:99"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row>
    <row r="205" spans="1:99"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row>
    <row r="206" spans="1:99"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row>
    <row r="207" spans="1:99"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row>
    <row r="208" spans="1:99"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row>
    <row r="209" spans="1:99"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row>
    <row r="210" spans="1:99"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row>
    <row r="211" spans="1:99"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row>
    <row r="212" spans="1:99"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row>
    <row r="213" spans="1:99"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row>
    <row r="214" spans="1:99"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row>
    <row r="215" spans="1:99"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row>
    <row r="216" spans="1:99"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row>
    <row r="217" spans="1:99"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row>
    <row r="218" spans="1:99"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row>
    <row r="219" spans="1:99"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row>
    <row r="220" spans="1:99"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row>
    <row r="221" spans="1:99"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row>
    <row r="222" spans="1:99"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row>
    <row r="223" spans="1:99"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row>
    <row r="224" spans="1:99"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row>
    <row r="225" spans="1:99"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row>
    <row r="226" spans="1:99"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row>
    <row r="227" spans="1:99"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row>
    <row r="228" spans="1:99"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row>
    <row r="229" spans="1:99"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row>
    <row r="230" spans="1:99"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row>
    <row r="231" spans="1:99"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row>
    <row r="232" spans="1:99"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row>
    <row r="233" spans="1:99"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row>
    <row r="234" spans="1:99"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row>
    <row r="235" spans="1:99"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row>
    <row r="236" spans="1:99"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row>
    <row r="237" spans="1:99"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row>
    <row r="238" spans="1:99"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row>
    <row r="239" spans="1:99"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row>
    <row r="240" spans="1:99"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row>
    <row r="241" spans="1:99"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row>
    <row r="242" spans="1:99"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row>
    <row r="243" spans="1:99"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row>
    <row r="244" spans="1:99"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row>
    <row r="245" spans="1:99"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row>
    <row r="246" spans="1:99"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row>
    <row r="247" spans="1:99"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row>
    <row r="248" spans="1:99"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row>
    <row r="249" spans="1:99"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row>
    <row r="250" spans="1:99"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row>
    <row r="251" spans="1:99"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row>
    <row r="252" spans="1:99"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row>
    <row r="253" spans="1:99"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row>
    <row r="254" spans="1:99"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row>
    <row r="255" spans="1:99"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row>
    <row r="256" spans="1:99"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row>
    <row r="257" spans="1:99"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row>
    <row r="258" spans="1:99"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row>
    <row r="259" spans="1:99"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row>
    <row r="260" spans="1:99"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row>
    <row r="261" spans="1:99"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row>
    <row r="262" spans="1:99"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row>
    <row r="263" spans="1:99"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row>
    <row r="264" spans="1:99"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row>
    <row r="265" spans="1:99"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row>
    <row r="266" spans="1:99"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row>
    <row r="267" spans="1:99"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row>
    <row r="268" spans="1:99"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row>
    <row r="269" spans="1:99"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row>
    <row r="270" spans="1:99"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row>
    <row r="271" spans="1:99"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row>
    <row r="272" spans="1:99"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row>
    <row r="273" spans="1:99"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row>
    <row r="274" spans="1:99"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row>
    <row r="275" spans="1:99"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row>
    <row r="276" spans="1:99"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row>
    <row r="277" spans="1:99"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row>
    <row r="278" spans="1:99"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row>
    <row r="279" spans="1:99"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row>
    <row r="280" spans="1:99"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row>
    <row r="281" spans="1:99"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row>
    <row r="282" spans="1:99"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row>
    <row r="283" spans="1:99"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row>
    <row r="284" spans="1:99"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row>
    <row r="285" spans="1:99"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row>
    <row r="286" spans="1:99"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row>
    <row r="287" spans="1:99"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row>
    <row r="288" spans="1:99"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row>
    <row r="289" spans="1:99"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row>
    <row r="290" spans="1:99"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row>
    <row r="291" spans="1:99"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row>
    <row r="292" spans="1:99"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row>
    <row r="293" spans="1:99"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row>
    <row r="294" spans="1:99"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row>
    <row r="295" spans="1:99"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row>
    <row r="296" spans="1:99"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row>
    <row r="297" spans="1:99"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row>
    <row r="298" spans="1:99"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row>
    <row r="299" spans="1:99"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row>
    <row r="300" spans="1:99"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row>
    <row r="301" spans="1:99"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row>
    <row r="302" spans="1:99"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row>
    <row r="303" spans="1:99"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row>
    <row r="304" spans="1:99"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row>
    <row r="305" spans="1:99"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row>
    <row r="306" spans="1:99"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row>
    <row r="307" spans="1:99"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row>
    <row r="308" spans="1:99"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row>
    <row r="309" spans="1:99"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row>
    <row r="310" spans="1:99"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row>
    <row r="311" spans="1:99"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row>
    <row r="312" spans="1:99"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row>
    <row r="313" spans="1:99"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row>
    <row r="314" spans="1:99"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row>
    <row r="315" spans="1:99"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row>
    <row r="316" spans="1:99"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row>
    <row r="317" spans="1:99"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row>
    <row r="318" spans="1:99"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row>
    <row r="319" spans="1:99"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row>
    <row r="320" spans="1:99"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row>
    <row r="321" spans="1:99"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row>
    <row r="322" spans="1:99"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row>
    <row r="323" spans="1:99"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row>
    <row r="324" spans="1:99"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row>
    <row r="325" spans="1:99"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row>
    <row r="326" spans="1:99"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row>
    <row r="327" spans="1:99"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row>
    <row r="328" spans="1:99"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row>
    <row r="329" spans="1:99"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row>
    <row r="330" spans="1:99"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row>
    <row r="331" spans="1:99"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row>
    <row r="332" spans="1:99"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row>
    <row r="333" spans="1:99"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row>
    <row r="334" spans="1:99"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row>
    <row r="335" spans="1:99"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row>
    <row r="336" spans="1:99"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row>
    <row r="337" spans="1:99"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row>
    <row r="338" spans="1:99"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row>
    <row r="339" spans="1:99"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row>
    <row r="340" spans="1:99"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row>
    <row r="341" spans="1:99"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row>
    <row r="342" spans="1:99"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row>
    <row r="343" spans="1:99"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row>
    <row r="344" spans="1:99"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row>
    <row r="345" spans="1:99"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row>
    <row r="346" spans="1:99"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row>
    <row r="347" spans="1:99"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row>
    <row r="348" spans="1:99"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row>
    <row r="349" spans="1:99"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row>
    <row r="350" spans="1:99"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row>
    <row r="351" spans="1:99"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row>
    <row r="352" spans="1:99"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row>
    <row r="353" spans="1:99"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row>
    <row r="354" spans="1:99"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row>
    <row r="355" spans="1:99"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row>
    <row r="356" spans="1:99"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row>
    <row r="357" spans="1:99"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c r="CR357" s="26"/>
      <c r="CS357" s="26"/>
      <c r="CT357" s="26"/>
      <c r="CU357" s="26"/>
    </row>
    <row r="358" spans="1:99"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c r="CR358" s="26"/>
      <c r="CS358" s="26"/>
      <c r="CT358" s="26"/>
      <c r="CU358" s="26"/>
    </row>
    <row r="359" spans="1:99"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row>
    <row r="360" spans="1:99"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row>
    <row r="361" spans="1:99"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row>
    <row r="362" spans="1:99"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row>
    <row r="363" spans="1:99"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row>
    <row r="364" spans="1:99"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row>
    <row r="365" spans="1:99"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row>
    <row r="366" spans="1:99"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row>
    <row r="367" spans="1:99"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row>
    <row r="368" spans="1:99"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row>
    <row r="369" spans="1:99"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row>
  </sheetData>
  <sheetProtection password="DB00" sheet="1" objects="1" scenarios="1"/>
  <mergeCells count="60">
    <mergeCell ref="B113:H113"/>
    <mergeCell ref="B104:G104"/>
    <mergeCell ref="B105:G105"/>
    <mergeCell ref="B106:G106"/>
    <mergeCell ref="B107:G107"/>
    <mergeCell ref="C108:G108"/>
    <mergeCell ref="C109:G109"/>
    <mergeCell ref="B74:N74"/>
    <mergeCell ref="B75:N75"/>
    <mergeCell ref="B77:G77"/>
    <mergeCell ref="B80:B85"/>
    <mergeCell ref="G80:G103"/>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workbookViewId="0">
      <selection activeCell="E9" sqref="E9"/>
    </sheetView>
  </sheetViews>
  <sheetFormatPr defaultColWidth="8.85546875" defaultRowHeight="12.75" x14ac:dyDescent="0.25"/>
  <cols>
    <col min="1" max="1" width="8.85546875" style="26"/>
    <col min="2" max="2" width="40.85546875" style="26" customWidth="1"/>
    <col min="3" max="3" width="43.42578125" style="26" customWidth="1"/>
    <col min="4" max="4" width="15.85546875" style="26" customWidth="1"/>
    <col min="5" max="5" width="22.28515625" style="26" customWidth="1"/>
    <col min="6" max="6" width="11.28515625" style="26" customWidth="1"/>
    <col min="7" max="7" width="12.7109375" style="26" customWidth="1"/>
    <col min="8" max="16384" width="8.85546875" style="26"/>
  </cols>
  <sheetData>
    <row r="1" spans="1:25" ht="12.75" customHeight="1" x14ac:dyDescent="0.25">
      <c r="A1" s="369" t="s">
        <v>0</v>
      </c>
      <c r="B1" s="369"/>
      <c r="D1" s="2"/>
    </row>
    <row r="3" spans="1:25" x14ac:dyDescent="0.25">
      <c r="A3" s="4" t="s">
        <v>1</v>
      </c>
      <c r="B3" s="5" t="s">
        <v>2</v>
      </c>
      <c r="C3" s="261" t="s">
        <v>820</v>
      </c>
      <c r="I3" s="12"/>
      <c r="J3" s="12"/>
      <c r="K3" s="12"/>
      <c r="L3" s="12"/>
      <c r="M3" s="12"/>
      <c r="N3" s="12"/>
      <c r="O3" s="12"/>
      <c r="P3" s="12"/>
      <c r="Q3" s="12"/>
      <c r="R3" s="12"/>
      <c r="S3" s="12"/>
      <c r="T3" s="12"/>
      <c r="U3" s="12"/>
      <c r="V3" s="12"/>
      <c r="W3" s="12"/>
      <c r="X3" s="12"/>
      <c r="Y3" s="12"/>
    </row>
    <row r="4" spans="1:25" x14ac:dyDescent="0.25">
      <c r="D4" s="9"/>
      <c r="F4" s="12"/>
      <c r="G4" s="12"/>
      <c r="H4" s="12"/>
      <c r="I4" s="12"/>
      <c r="J4" s="12"/>
      <c r="K4" s="12"/>
      <c r="L4" s="12"/>
      <c r="M4" s="12"/>
      <c r="N4" s="12"/>
      <c r="O4" s="12"/>
      <c r="P4" s="12"/>
      <c r="Q4" s="12"/>
      <c r="R4" s="12"/>
      <c r="S4" s="12"/>
      <c r="T4" s="12"/>
      <c r="U4" s="12"/>
      <c r="V4" s="12"/>
      <c r="W4" s="12"/>
      <c r="X4" s="12"/>
      <c r="Y4" s="12"/>
    </row>
    <row r="5" spans="1:25" ht="12.75" customHeight="1" x14ac:dyDescent="0.25">
      <c r="A5" s="10">
        <v>1</v>
      </c>
      <c r="B5" s="11" t="s">
        <v>4</v>
      </c>
      <c r="C5" s="324" t="s">
        <v>759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821</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customHeight="1" x14ac:dyDescent="0.25">
      <c r="A11" s="13">
        <v>3</v>
      </c>
      <c r="B11" s="11" t="s">
        <v>9</v>
      </c>
      <c r="C11" s="324" t="s">
        <v>10</v>
      </c>
      <c r="D11" s="325"/>
      <c r="E11" s="370"/>
    </row>
    <row r="12" spans="1:25" x14ac:dyDescent="0.25">
      <c r="A12" s="13"/>
      <c r="B12" s="382" t="s">
        <v>6</v>
      </c>
      <c r="C12" s="382"/>
      <c r="D12" s="382"/>
      <c r="E12" s="14"/>
    </row>
    <row r="13" spans="1:25" x14ac:dyDescent="0.25">
      <c r="A13" s="13"/>
      <c r="B13" s="15"/>
      <c r="C13" s="12"/>
      <c r="D13" s="9"/>
    </row>
    <row r="14" spans="1:25" x14ac:dyDescent="0.25">
      <c r="A14" s="13">
        <v>4</v>
      </c>
      <c r="B14" s="5" t="s">
        <v>11</v>
      </c>
      <c r="C14" s="261" t="s">
        <v>924</v>
      </c>
      <c r="D14" s="9"/>
    </row>
    <row r="15" spans="1:25" ht="13.5" x14ac:dyDescent="0.25">
      <c r="A15" s="13"/>
      <c r="B15" s="353" t="s">
        <v>13</v>
      </c>
      <c r="C15" s="385"/>
      <c r="D15" s="9"/>
      <c r="F15" s="12"/>
    </row>
    <row r="16" spans="1:25" x14ac:dyDescent="0.25">
      <c r="A16" s="13"/>
      <c r="C16" s="12"/>
      <c r="D16" s="9"/>
    </row>
    <row r="17" spans="1:14" ht="12.75" customHeight="1" x14ac:dyDescent="0.25">
      <c r="A17" s="13">
        <v>5</v>
      </c>
      <c r="B17" s="333" t="s">
        <v>14</v>
      </c>
      <c r="C17" s="372"/>
      <c r="D17" s="372"/>
      <c r="E17" s="372"/>
      <c r="F17" s="15"/>
      <c r="G17" s="15"/>
      <c r="H17" s="15"/>
      <c r="I17" s="15"/>
      <c r="J17" s="17"/>
      <c r="K17" s="17"/>
      <c r="L17" s="17"/>
      <c r="M17" s="17"/>
      <c r="N17" s="17"/>
    </row>
    <row r="18" spans="1:14" x14ac:dyDescent="0.25">
      <c r="A18" s="13"/>
      <c r="B18" s="268" t="s">
        <v>15</v>
      </c>
      <c r="C18" s="373" t="s">
        <v>16</v>
      </c>
      <c r="D18" s="373"/>
      <c r="E18" s="373"/>
      <c r="F18" s="19"/>
      <c r="G18" s="17"/>
      <c r="H18" s="17"/>
      <c r="I18" s="17"/>
      <c r="J18" s="17"/>
      <c r="K18" s="17"/>
      <c r="L18" s="17"/>
      <c r="M18" s="17"/>
      <c r="N18" s="17"/>
    </row>
    <row r="19" spans="1:14" ht="25.5" x14ac:dyDescent="0.25">
      <c r="A19" s="13"/>
      <c r="B19" s="268" t="s">
        <v>822</v>
      </c>
      <c r="C19" s="363" t="s">
        <v>16</v>
      </c>
      <c r="D19" s="363"/>
      <c r="E19" s="363"/>
      <c r="F19" s="19"/>
      <c r="G19" s="17"/>
      <c r="I19" s="17"/>
      <c r="J19" s="17"/>
      <c r="K19" s="17"/>
      <c r="L19" s="17"/>
      <c r="M19" s="17"/>
      <c r="N19" s="17"/>
    </row>
    <row r="20" spans="1:14" x14ac:dyDescent="0.25">
      <c r="A20" s="13"/>
      <c r="B20" s="268" t="s">
        <v>664</v>
      </c>
      <c r="C20" s="363" t="s">
        <v>16</v>
      </c>
      <c r="D20" s="363"/>
      <c r="E20" s="363"/>
      <c r="F20" s="19"/>
      <c r="G20" s="17"/>
      <c r="H20" s="17"/>
      <c r="I20" s="17"/>
      <c r="J20" s="17"/>
      <c r="K20" s="17"/>
      <c r="L20" s="17"/>
      <c r="M20" s="17"/>
      <c r="N20" s="17"/>
    </row>
    <row r="21" spans="1:14" x14ac:dyDescent="0.25">
      <c r="A21" s="13"/>
      <c r="B21" s="268" t="s">
        <v>19</v>
      </c>
      <c r="C21" s="363" t="s">
        <v>16</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ht="12.75" customHeight="1" x14ac:dyDescent="0.25">
      <c r="A23" s="13"/>
      <c r="B23" s="353" t="s">
        <v>769</v>
      </c>
      <c r="C23" s="354"/>
      <c r="D23" s="354"/>
      <c r="E23" s="355"/>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ht="28.5" customHeight="1" x14ac:dyDescent="0.25">
      <c r="A26" s="13">
        <v>6</v>
      </c>
      <c r="B26" s="333" t="s">
        <v>22</v>
      </c>
      <c r="C26" s="333"/>
      <c r="D26" s="333"/>
      <c r="E26" s="333"/>
      <c r="F26" s="15"/>
      <c r="G26" s="15"/>
      <c r="H26" s="17"/>
      <c r="I26" s="15"/>
      <c r="J26" s="15"/>
    </row>
    <row r="27" spans="1:14" x14ac:dyDescent="0.25">
      <c r="A27" s="13"/>
      <c r="B27" s="364" t="s">
        <v>23</v>
      </c>
      <c r="C27" s="365"/>
      <c r="D27" s="365"/>
      <c r="E27" s="366"/>
      <c r="F27" s="19"/>
    </row>
    <row r="28" spans="1:14" x14ac:dyDescent="0.25">
      <c r="A28" s="13"/>
      <c r="B28" s="258" t="s">
        <v>24</v>
      </c>
      <c r="C28" s="266" t="s">
        <v>324</v>
      </c>
      <c r="D28" s="266" t="s">
        <v>325</v>
      </c>
      <c r="E28" s="266" t="s">
        <v>27</v>
      </c>
      <c r="F28" s="19"/>
    </row>
    <row r="29" spans="1:14" ht="12.75" customHeight="1" x14ac:dyDescent="0.25">
      <c r="A29" s="13"/>
      <c r="B29" s="263" t="s">
        <v>28</v>
      </c>
      <c r="C29" s="260">
        <v>4434.2</v>
      </c>
      <c r="D29" s="260">
        <v>3893.79</v>
      </c>
      <c r="E29" s="420" t="s">
        <v>265</v>
      </c>
      <c r="F29" s="19"/>
    </row>
    <row r="30" spans="1:14" x14ac:dyDescent="0.25">
      <c r="A30" s="13"/>
      <c r="B30" s="263" t="s">
        <v>29</v>
      </c>
      <c r="C30" s="260">
        <v>-267.97000000000003</v>
      </c>
      <c r="D30" s="260">
        <v>-170.11</v>
      </c>
      <c r="E30" s="421"/>
      <c r="F30" s="19"/>
    </row>
    <row r="31" spans="1:14" x14ac:dyDescent="0.25">
      <c r="A31" s="13"/>
      <c r="B31" s="263" t="s">
        <v>30</v>
      </c>
      <c r="C31" s="260">
        <v>1428.78</v>
      </c>
      <c r="D31" s="260">
        <v>1428.78</v>
      </c>
      <c r="E31" s="421"/>
      <c r="F31" s="19"/>
    </row>
    <row r="32" spans="1:14" x14ac:dyDescent="0.25">
      <c r="A32" s="13"/>
      <c r="B32" s="263" t="s">
        <v>31</v>
      </c>
      <c r="C32" s="260">
        <v>87.9</v>
      </c>
      <c r="D32" s="260">
        <v>-82.19</v>
      </c>
      <c r="E32" s="422"/>
      <c r="F32" s="19"/>
    </row>
    <row r="33" spans="1:10" ht="12.75" customHeight="1" x14ac:dyDescent="0.25">
      <c r="A33" s="13"/>
      <c r="B33" s="353" t="s">
        <v>769</v>
      </c>
      <c r="C33" s="354"/>
      <c r="D33" s="354"/>
      <c r="E33" s="355"/>
      <c r="F33" s="19"/>
    </row>
    <row r="34" spans="1:10" x14ac:dyDescent="0.25">
      <c r="A34" s="13"/>
      <c r="B34" s="17"/>
      <c r="C34" s="19"/>
      <c r="D34" s="19"/>
      <c r="E34" s="19"/>
      <c r="F34" s="19"/>
    </row>
    <row r="35" spans="1:10" ht="27.75" customHeight="1" x14ac:dyDescent="0.25">
      <c r="A35" s="13">
        <v>7</v>
      </c>
      <c r="B35" s="333" t="s">
        <v>33</v>
      </c>
      <c r="C35" s="333"/>
      <c r="D35" s="333"/>
      <c r="E35" s="333"/>
      <c r="F35" s="15"/>
      <c r="G35" s="15"/>
      <c r="H35" s="15"/>
      <c r="I35" s="15"/>
      <c r="J35" s="15"/>
    </row>
    <row r="36" spans="1:10" x14ac:dyDescent="0.25">
      <c r="A36" s="13"/>
      <c r="B36" s="258" t="s">
        <v>34</v>
      </c>
      <c r="C36" s="260" t="s">
        <v>245</v>
      </c>
      <c r="D36" s="17"/>
      <c r="E36" s="17"/>
      <c r="F36" s="17"/>
    </row>
    <row r="37" spans="1:10" x14ac:dyDescent="0.25">
      <c r="A37" s="13"/>
      <c r="B37" s="258" t="s">
        <v>36</v>
      </c>
      <c r="C37" s="260" t="s">
        <v>902</v>
      </c>
      <c r="D37" s="17"/>
      <c r="E37" s="17"/>
      <c r="F37" s="17"/>
    </row>
    <row r="38" spans="1:10" x14ac:dyDescent="0.25">
      <c r="A38" s="13"/>
      <c r="B38" s="259" t="s">
        <v>37</v>
      </c>
      <c r="C38" s="271" t="s">
        <v>263</v>
      </c>
      <c r="D38" s="17"/>
      <c r="E38" s="17"/>
      <c r="F38" s="17"/>
    </row>
    <row r="39" spans="1:10" ht="12.75" customHeight="1" x14ac:dyDescent="0.25">
      <c r="A39" s="13"/>
      <c r="B39" s="382" t="s">
        <v>606</v>
      </c>
      <c r="C39" s="382"/>
      <c r="D39" s="17"/>
      <c r="E39" s="17"/>
      <c r="F39" s="17"/>
    </row>
    <row r="40" spans="1:10" x14ac:dyDescent="0.25">
      <c r="A40" s="13"/>
      <c r="B40" s="12"/>
      <c r="C40" s="17"/>
      <c r="D40" s="17"/>
      <c r="E40" s="17"/>
      <c r="F40" s="17"/>
    </row>
    <row r="41" spans="1:10" x14ac:dyDescent="0.25">
      <c r="A41" s="13"/>
      <c r="B41" s="19"/>
      <c r="C41" s="17"/>
      <c r="D41" s="17"/>
      <c r="E41" s="17"/>
      <c r="F41" s="17"/>
    </row>
    <row r="42" spans="1:10" ht="29.25" customHeight="1" x14ac:dyDescent="0.25">
      <c r="A42" s="13">
        <v>8</v>
      </c>
      <c r="B42" s="333" t="s">
        <v>38</v>
      </c>
      <c r="C42" s="333"/>
      <c r="D42" s="333"/>
      <c r="E42" s="333"/>
      <c r="F42" s="15"/>
      <c r="G42" s="15"/>
      <c r="H42" s="15"/>
      <c r="I42" s="15"/>
      <c r="J42" s="15"/>
    </row>
    <row r="43" spans="1:10" ht="12.75" customHeight="1" x14ac:dyDescent="0.25">
      <c r="A43" s="13"/>
      <c r="B43" s="258" t="s">
        <v>39</v>
      </c>
      <c r="D43" s="26" t="s">
        <v>16</v>
      </c>
      <c r="E43" s="15"/>
      <c r="F43" s="17"/>
    </row>
    <row r="44" spans="1:10" x14ac:dyDescent="0.25">
      <c r="A44" s="13"/>
      <c r="B44" s="258" t="s">
        <v>36</v>
      </c>
      <c r="C44" s="350" t="s">
        <v>925</v>
      </c>
      <c r="D44" s="351"/>
      <c r="E44" s="352"/>
      <c r="F44" s="17"/>
    </row>
    <row r="45" spans="1:10" x14ac:dyDescent="0.25">
      <c r="A45" s="13"/>
      <c r="B45" s="258" t="s">
        <v>37</v>
      </c>
      <c r="C45" s="367" t="s">
        <v>263</v>
      </c>
      <c r="D45" s="367"/>
      <c r="E45" s="367"/>
      <c r="F45" s="17"/>
    </row>
    <row r="46" spans="1:10" ht="12.75" customHeight="1" x14ac:dyDescent="0.25">
      <c r="A46" s="13"/>
      <c r="B46" s="353" t="s">
        <v>40</v>
      </c>
      <c r="C46" s="354"/>
      <c r="D46" s="354"/>
      <c r="E46" s="355"/>
      <c r="F46" s="17"/>
    </row>
    <row r="47" spans="1:10" x14ac:dyDescent="0.25">
      <c r="A47" s="4"/>
      <c r="B47" s="12"/>
      <c r="C47" s="12"/>
      <c r="D47" s="28"/>
      <c r="E47" s="17"/>
    </row>
    <row r="48" spans="1:10" ht="12.75" customHeight="1" x14ac:dyDescent="0.25">
      <c r="A48" s="29">
        <v>9</v>
      </c>
      <c r="B48" s="340" t="s">
        <v>41</v>
      </c>
      <c r="C48" s="333"/>
      <c r="D48" s="333"/>
      <c r="E48" s="333"/>
      <c r="F48" s="30"/>
      <c r="G48" s="15"/>
      <c r="H48" s="15"/>
      <c r="I48" s="15"/>
    </row>
    <row r="49" spans="1:14" ht="25.5" x14ac:dyDescent="0.25">
      <c r="A49" s="29"/>
      <c r="B49" s="265" t="s">
        <v>42</v>
      </c>
      <c r="C49" s="32" t="s">
        <v>43</v>
      </c>
      <c r="D49" s="33" t="s">
        <v>44</v>
      </c>
      <c r="E49" s="32" t="s">
        <v>268</v>
      </c>
    </row>
    <row r="50" spans="1:14" ht="114.75" x14ac:dyDescent="0.25">
      <c r="A50" s="34"/>
      <c r="B50" s="94" t="s">
        <v>369</v>
      </c>
      <c r="C50" s="94" t="s">
        <v>926</v>
      </c>
      <c r="D50" s="311" t="s">
        <v>957</v>
      </c>
      <c r="E50" s="311" t="s">
        <v>48</v>
      </c>
    </row>
    <row r="51" spans="1:14" ht="12.75" customHeight="1" x14ac:dyDescent="0.25">
      <c r="A51" s="36"/>
      <c r="B51" s="345" t="s">
        <v>823</v>
      </c>
      <c r="C51" s="346"/>
      <c r="D51" s="346"/>
      <c r="E51" s="347"/>
      <c r="F51" s="19"/>
      <c r="G51" s="19"/>
      <c r="H51" s="19"/>
    </row>
    <row r="52" spans="1:14" x14ac:dyDescent="0.25">
      <c r="A52" s="37"/>
      <c r="B52" s="75"/>
      <c r="C52" s="28"/>
      <c r="D52" s="28"/>
      <c r="E52" s="28"/>
      <c r="F52" s="19"/>
      <c r="G52" s="19"/>
      <c r="H52" s="19"/>
      <c r="I52" s="19"/>
    </row>
    <row r="53" spans="1:14" ht="12.75" customHeight="1" x14ac:dyDescent="0.25">
      <c r="A53" s="29">
        <v>10</v>
      </c>
      <c r="B53" s="340" t="s">
        <v>41</v>
      </c>
      <c r="C53" s="333"/>
      <c r="D53" s="333"/>
      <c r="E53" s="333"/>
      <c r="F53" s="19"/>
      <c r="G53" s="19"/>
      <c r="H53" s="19"/>
    </row>
    <row r="54" spans="1:14" ht="12.75" customHeight="1" x14ac:dyDescent="0.25">
      <c r="A54" s="34"/>
      <c r="B54" s="357" t="s">
        <v>50</v>
      </c>
      <c r="C54" s="394" t="s">
        <v>927</v>
      </c>
      <c r="D54" s="395"/>
      <c r="E54" s="396"/>
      <c r="K54" s="2"/>
    </row>
    <row r="55" spans="1:14" ht="27" customHeight="1" x14ac:dyDescent="0.25">
      <c r="A55" s="34"/>
      <c r="B55" s="358"/>
      <c r="C55" s="397"/>
      <c r="D55" s="398"/>
      <c r="E55" s="399"/>
      <c r="K55" s="2"/>
    </row>
    <row r="56" spans="1:14" ht="43.5" customHeight="1" x14ac:dyDescent="0.25">
      <c r="A56" s="29"/>
      <c r="B56" s="39" t="s">
        <v>54</v>
      </c>
      <c r="C56" s="344" t="s">
        <v>958</v>
      </c>
      <c r="D56" s="344"/>
      <c r="E56" s="344"/>
      <c r="K56" s="12"/>
    </row>
    <row r="57" spans="1:14" x14ac:dyDescent="0.25">
      <c r="A57" s="34"/>
      <c r="B57" s="39" t="s">
        <v>55</v>
      </c>
      <c r="C57" s="438" t="s">
        <v>56</v>
      </c>
      <c r="D57" s="439"/>
      <c r="E57" s="440"/>
      <c r="K57" s="40"/>
    </row>
    <row r="58" spans="1:14" ht="12.75" customHeight="1" x14ac:dyDescent="0.25">
      <c r="A58" s="34"/>
      <c r="B58" s="345" t="s">
        <v>823</v>
      </c>
      <c r="C58" s="346"/>
      <c r="D58" s="346"/>
      <c r="E58" s="347"/>
      <c r="K58" s="40"/>
    </row>
    <row r="59" spans="1:14" s="239"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row>
    <row r="61" spans="1:14" ht="12.75" customHeight="1" x14ac:dyDescent="0.25">
      <c r="A61" s="13">
        <v>11</v>
      </c>
      <c r="B61" s="5" t="s">
        <v>59</v>
      </c>
      <c r="C61" s="349" t="s">
        <v>60</v>
      </c>
      <c r="D61" s="349"/>
      <c r="E61" s="349"/>
      <c r="F61" s="15"/>
      <c r="G61" s="15"/>
      <c r="H61" s="51"/>
      <c r="I61" s="15"/>
      <c r="J61" s="15"/>
      <c r="L61" s="12"/>
    </row>
    <row r="62" spans="1:14" x14ac:dyDescent="0.25">
      <c r="A62" s="13"/>
      <c r="B62" s="19"/>
      <c r="C62" s="19"/>
      <c r="D62" s="19"/>
      <c r="E62" s="19"/>
      <c r="F62" s="19"/>
      <c r="G62" s="19"/>
      <c r="H62" s="52"/>
      <c r="I62" s="52"/>
      <c r="J62" s="19"/>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58" t="s">
        <v>62</v>
      </c>
      <c r="C65" s="263" t="s">
        <v>825</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ht="12.75" customHeight="1" x14ac:dyDescent="0.25">
      <c r="A67" s="13"/>
      <c r="B67" s="333" t="s">
        <v>64</v>
      </c>
      <c r="C67" s="372" t="s">
        <v>826</v>
      </c>
      <c r="D67" s="372" t="s">
        <v>333</v>
      </c>
      <c r="E67" s="336" t="s">
        <v>294</v>
      </c>
      <c r="F67" s="327" t="s">
        <v>933</v>
      </c>
      <c r="G67" s="328"/>
      <c r="H67" s="329"/>
      <c r="I67" s="330" t="s">
        <v>934</v>
      </c>
      <c r="J67" s="330"/>
      <c r="K67" s="330"/>
      <c r="L67" s="330" t="s">
        <v>70</v>
      </c>
      <c r="M67" s="330"/>
      <c r="N67" s="330"/>
    </row>
    <row r="68" spans="1:14" ht="38.25" x14ac:dyDescent="0.25">
      <c r="A68" s="4"/>
      <c r="B68" s="333"/>
      <c r="C68" s="335"/>
      <c r="D68" s="335"/>
      <c r="E68" s="337"/>
      <c r="F68" s="258" t="s">
        <v>71</v>
      </c>
      <c r="G68" s="258" t="s">
        <v>928</v>
      </c>
      <c r="H68" s="258" t="s">
        <v>73</v>
      </c>
      <c r="I68" s="258" t="s">
        <v>74</v>
      </c>
      <c r="J68" s="258" t="s">
        <v>72</v>
      </c>
      <c r="K68" s="258" t="s">
        <v>73</v>
      </c>
      <c r="L68" s="258" t="s">
        <v>74</v>
      </c>
      <c r="M68" s="258" t="s">
        <v>72</v>
      </c>
      <c r="N68" s="258" t="s">
        <v>73</v>
      </c>
    </row>
    <row r="69" spans="1:14" x14ac:dyDescent="0.25">
      <c r="A69" s="4"/>
      <c r="B69" s="258" t="s">
        <v>75</v>
      </c>
      <c r="C69" s="131">
        <v>18</v>
      </c>
      <c r="D69" s="53">
        <v>17</v>
      </c>
      <c r="E69" s="53">
        <v>17</v>
      </c>
      <c r="F69" s="53">
        <v>18</v>
      </c>
      <c r="G69" s="53">
        <v>18</v>
      </c>
      <c r="H69" s="53">
        <v>17.5</v>
      </c>
      <c r="I69" s="53">
        <v>18</v>
      </c>
      <c r="J69" s="53">
        <v>18</v>
      </c>
      <c r="K69" s="53">
        <v>12.1</v>
      </c>
      <c r="L69" s="53" t="s">
        <v>48</v>
      </c>
      <c r="M69" s="53" t="s">
        <v>48</v>
      </c>
      <c r="N69" s="53" t="s">
        <v>48</v>
      </c>
    </row>
    <row r="70" spans="1:14" ht="25.5" x14ac:dyDescent="0.25">
      <c r="A70" s="4"/>
      <c r="B70" s="258" t="s">
        <v>929</v>
      </c>
      <c r="C70" s="131">
        <v>31390.07</v>
      </c>
      <c r="D70" s="131">
        <v>30379.81</v>
      </c>
      <c r="E70" s="53">
        <v>33228.800000000003</v>
      </c>
      <c r="F70" s="53">
        <v>29468.49</v>
      </c>
      <c r="G70" s="53">
        <v>42273.87</v>
      </c>
      <c r="H70" s="53">
        <v>25638.9</v>
      </c>
      <c r="I70" s="53">
        <v>49509.15</v>
      </c>
      <c r="J70" s="53">
        <v>52516.76</v>
      </c>
      <c r="K70" s="53">
        <v>27500.79</v>
      </c>
      <c r="L70" s="53" t="s">
        <v>48</v>
      </c>
      <c r="M70" s="53" t="s">
        <v>48</v>
      </c>
      <c r="N70" s="53" t="s">
        <v>48</v>
      </c>
    </row>
    <row r="71" spans="1:14" ht="13.5" x14ac:dyDescent="0.25">
      <c r="A71" s="4"/>
      <c r="B71" s="383" t="s">
        <v>21</v>
      </c>
      <c r="C71" s="434"/>
      <c r="D71" s="434"/>
      <c r="E71" s="383"/>
      <c r="F71" s="383"/>
      <c r="G71" s="383"/>
      <c r="H71" s="383"/>
      <c r="I71" s="383"/>
      <c r="J71" s="383"/>
      <c r="K71" s="383"/>
      <c r="L71" s="383"/>
      <c r="M71" s="383"/>
      <c r="N71" s="383"/>
    </row>
    <row r="72" spans="1:14" ht="12.75" customHeight="1" x14ac:dyDescent="0.25">
      <c r="A72" s="4"/>
      <c r="B72" s="382" t="s">
        <v>79</v>
      </c>
      <c r="C72" s="382"/>
      <c r="D72" s="382"/>
      <c r="E72" s="382"/>
      <c r="F72" s="382"/>
      <c r="G72" s="382"/>
      <c r="H72" s="382"/>
      <c r="I72" s="382"/>
      <c r="J72" s="382"/>
      <c r="K72" s="382"/>
      <c r="L72" s="382"/>
      <c r="M72" s="382"/>
      <c r="N72" s="382"/>
    </row>
    <row r="73" spans="1:14" s="57" customFormat="1" ht="12.75" customHeight="1" x14ac:dyDescent="0.25">
      <c r="B73" s="382" t="s">
        <v>80</v>
      </c>
      <c r="C73" s="382"/>
      <c r="D73" s="382"/>
      <c r="E73" s="382"/>
      <c r="F73" s="382"/>
      <c r="G73" s="382"/>
      <c r="H73" s="382"/>
      <c r="I73" s="382"/>
      <c r="J73" s="382"/>
      <c r="K73" s="382"/>
      <c r="L73" s="382"/>
      <c r="M73" s="382"/>
      <c r="N73" s="382"/>
    </row>
    <row r="74" spans="1:14" ht="12.75" customHeight="1" x14ac:dyDescent="0.25">
      <c r="A74" s="4"/>
      <c r="B74" s="382" t="s">
        <v>420</v>
      </c>
      <c r="C74" s="382"/>
      <c r="D74" s="382"/>
      <c r="E74" s="382"/>
      <c r="F74" s="382"/>
      <c r="G74" s="382"/>
      <c r="H74" s="382"/>
      <c r="I74" s="382"/>
      <c r="J74" s="382"/>
      <c r="K74" s="382"/>
      <c r="L74" s="382"/>
      <c r="M74" s="382"/>
      <c r="N74" s="382"/>
    </row>
    <row r="75" spans="1:14" ht="12.75" customHeight="1"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ht="12.75" customHeight="1" x14ac:dyDescent="0.25">
      <c r="A77" s="13">
        <v>13</v>
      </c>
      <c r="B77" s="338" t="s">
        <v>83</v>
      </c>
      <c r="C77" s="339"/>
      <c r="D77" s="339"/>
      <c r="E77" s="339"/>
      <c r="F77" s="339"/>
      <c r="G77" s="340"/>
      <c r="H77" s="15"/>
      <c r="I77" s="15"/>
      <c r="J77" s="53"/>
      <c r="K77" s="53"/>
      <c r="L77" s="53"/>
      <c r="M77" s="15"/>
      <c r="N77" s="15"/>
    </row>
    <row r="78" spans="1:14" x14ac:dyDescent="0.25">
      <c r="A78" s="13"/>
      <c r="C78" s="19"/>
      <c r="D78" s="19"/>
      <c r="E78" s="19"/>
      <c r="F78" s="19"/>
      <c r="G78" s="19"/>
      <c r="H78" s="19"/>
      <c r="I78" s="19"/>
      <c r="J78" s="19"/>
      <c r="K78" s="19"/>
      <c r="L78" s="19"/>
      <c r="M78" s="19"/>
      <c r="N78" s="19"/>
    </row>
    <row r="79" spans="1:14" ht="102" x14ac:dyDescent="0.25">
      <c r="A79" s="4"/>
      <c r="B79" s="264" t="s">
        <v>84</v>
      </c>
      <c r="C79" s="266" t="s">
        <v>85</v>
      </c>
      <c r="D79" s="266" t="s">
        <v>86</v>
      </c>
      <c r="E79" s="266" t="s">
        <v>280</v>
      </c>
      <c r="F79" s="266" t="s">
        <v>88</v>
      </c>
      <c r="G79" s="266" t="s">
        <v>169</v>
      </c>
      <c r="H79" s="17"/>
      <c r="I79" s="17"/>
      <c r="J79" s="17"/>
      <c r="K79" s="17"/>
      <c r="L79" s="17"/>
      <c r="M79" s="17"/>
      <c r="N79" s="17"/>
    </row>
    <row r="80" spans="1:14" ht="12.75" customHeight="1" x14ac:dyDescent="0.2">
      <c r="A80" s="4"/>
      <c r="B80" s="316" t="s">
        <v>90</v>
      </c>
      <c r="C80" s="5" t="s">
        <v>831</v>
      </c>
      <c r="D80" s="91">
        <v>2.54</v>
      </c>
      <c r="E80" s="91">
        <v>-2.52</v>
      </c>
      <c r="F80" s="91">
        <v>-1.19</v>
      </c>
      <c r="G80" s="412" t="s">
        <v>282</v>
      </c>
      <c r="H80" s="62"/>
      <c r="I80" s="62"/>
      <c r="J80" s="62"/>
      <c r="K80" s="62"/>
      <c r="L80" s="62"/>
      <c r="M80" s="62"/>
      <c r="N80" s="62"/>
    </row>
    <row r="81" spans="1:14" x14ac:dyDescent="0.25">
      <c r="A81" s="4"/>
      <c r="B81" s="316"/>
      <c r="C81" s="5" t="s">
        <v>827</v>
      </c>
      <c r="D81" s="262"/>
      <c r="E81" s="262"/>
      <c r="F81" s="262"/>
      <c r="G81" s="413"/>
      <c r="H81" s="62"/>
      <c r="I81" s="62"/>
      <c r="J81" s="62"/>
      <c r="K81" s="62"/>
      <c r="L81" s="62"/>
      <c r="M81" s="62"/>
      <c r="N81" s="62"/>
    </row>
    <row r="82" spans="1:14" x14ac:dyDescent="0.25">
      <c r="A82" s="4"/>
      <c r="B82" s="316"/>
      <c r="C82" s="25" t="s">
        <v>828</v>
      </c>
      <c r="D82" s="262">
        <v>0.2</v>
      </c>
      <c r="E82" s="262">
        <v>20.38</v>
      </c>
      <c r="F82" s="262">
        <v>-4.72</v>
      </c>
      <c r="G82" s="413"/>
      <c r="H82" s="62"/>
      <c r="I82" s="62"/>
      <c r="J82" s="62"/>
      <c r="K82" s="62"/>
      <c r="L82" s="62"/>
      <c r="M82" s="62"/>
      <c r="N82" s="62"/>
    </row>
    <row r="83" spans="1:14" ht="25.5" x14ac:dyDescent="0.25">
      <c r="A83" s="4"/>
      <c r="B83" s="316"/>
      <c r="C83" s="25" t="s">
        <v>829</v>
      </c>
      <c r="D83" s="262">
        <v>4.93</v>
      </c>
      <c r="E83" s="262">
        <v>-5.56</v>
      </c>
      <c r="F83" s="262">
        <v>-9.9600000000000009</v>
      </c>
      <c r="G83" s="413"/>
      <c r="H83" s="62"/>
      <c r="I83" s="62"/>
      <c r="J83" s="62"/>
      <c r="K83" s="62"/>
      <c r="L83" s="62"/>
      <c r="M83" s="62"/>
      <c r="N83" s="62"/>
    </row>
    <row r="84" spans="1:14" x14ac:dyDescent="0.25">
      <c r="A84" s="4"/>
      <c r="B84" s="316"/>
      <c r="C84" s="25" t="s">
        <v>830</v>
      </c>
      <c r="D84" s="262">
        <v>-2.3199999999999998</v>
      </c>
      <c r="E84" s="262">
        <v>-24.43</v>
      </c>
      <c r="F84" s="262">
        <v>-14.48</v>
      </c>
      <c r="G84" s="413"/>
      <c r="H84" s="62"/>
      <c r="I84" s="62"/>
      <c r="J84" s="62"/>
      <c r="K84" s="62"/>
      <c r="L84" s="62"/>
      <c r="M84" s="62"/>
      <c r="N84" s="62"/>
    </row>
    <row r="85" spans="1:14" x14ac:dyDescent="0.25">
      <c r="A85" s="4"/>
      <c r="B85" s="316"/>
      <c r="C85" s="5" t="s">
        <v>93</v>
      </c>
      <c r="D85" s="164">
        <f>(D82+D83+D84)/3</f>
        <v>0.93666666666666665</v>
      </c>
      <c r="E85" s="164">
        <f t="shared" ref="E85:F85" si="0">(E82+E83+E84)/3</f>
        <v>-3.2033333333333331</v>
      </c>
      <c r="F85" s="164">
        <f t="shared" si="0"/>
        <v>-9.7200000000000006</v>
      </c>
      <c r="G85" s="413"/>
      <c r="H85" s="62"/>
      <c r="I85" s="62"/>
      <c r="J85" s="62"/>
      <c r="K85" s="62"/>
      <c r="L85" s="62"/>
      <c r="M85" s="62"/>
      <c r="N85" s="62"/>
    </row>
    <row r="86" spans="1:14" x14ac:dyDescent="0.2">
      <c r="A86" s="4"/>
      <c r="B86" s="316" t="s">
        <v>94</v>
      </c>
      <c r="C86" s="5" t="s">
        <v>831</v>
      </c>
      <c r="D86" s="93">
        <v>7.09</v>
      </c>
      <c r="E86" s="93">
        <f>18/E80</f>
        <v>-7.1428571428571432</v>
      </c>
      <c r="F86" s="93">
        <f>18/F80</f>
        <v>-15.126050420168069</v>
      </c>
      <c r="G86" s="413"/>
      <c r="H86" s="62"/>
      <c r="I86" s="62"/>
      <c r="J86" s="62"/>
      <c r="K86" s="62"/>
      <c r="L86" s="62"/>
      <c r="M86" s="62"/>
      <c r="N86" s="62"/>
    </row>
    <row r="87" spans="1:14" x14ac:dyDescent="0.25">
      <c r="A87" s="4"/>
      <c r="B87" s="316"/>
      <c r="C87" s="5" t="s">
        <v>92</v>
      </c>
      <c r="D87" s="262"/>
      <c r="E87" s="262"/>
      <c r="F87" s="262"/>
      <c r="G87" s="413"/>
      <c r="H87" s="62"/>
      <c r="I87" s="62"/>
      <c r="J87" s="62"/>
      <c r="K87" s="62"/>
      <c r="L87" s="62"/>
      <c r="M87" s="62"/>
      <c r="N87" s="62"/>
    </row>
    <row r="88" spans="1:14" x14ac:dyDescent="0.25">
      <c r="A88" s="4"/>
      <c r="B88" s="316"/>
      <c r="C88" s="25" t="s">
        <v>828</v>
      </c>
      <c r="D88" s="262">
        <v>189.25</v>
      </c>
      <c r="E88" s="262">
        <f>19.6/E82</f>
        <v>0.96172718351324837</v>
      </c>
      <c r="F88" s="297">
        <v>0</v>
      </c>
      <c r="G88" s="413"/>
      <c r="H88" s="62"/>
      <c r="I88" s="62"/>
      <c r="J88" s="62"/>
      <c r="K88" s="62"/>
      <c r="L88" s="62"/>
      <c r="M88" s="62"/>
      <c r="N88" s="62"/>
    </row>
    <row r="89" spans="1:14" ht="25.5" x14ac:dyDescent="0.25">
      <c r="A89" s="4"/>
      <c r="B89" s="316"/>
      <c r="C89" s="25" t="s">
        <v>829</v>
      </c>
      <c r="D89" s="262">
        <v>10.55</v>
      </c>
      <c r="E89" s="297">
        <v>0</v>
      </c>
      <c r="F89" s="297">
        <v>0</v>
      </c>
      <c r="G89" s="413"/>
      <c r="H89" s="62"/>
      <c r="I89" s="62"/>
      <c r="J89" s="62"/>
      <c r="K89" s="62"/>
      <c r="L89" s="62"/>
      <c r="M89" s="62"/>
      <c r="N89" s="62"/>
    </row>
    <row r="90" spans="1:14" x14ac:dyDescent="0.25">
      <c r="A90" s="4"/>
      <c r="B90" s="316"/>
      <c r="C90" s="25" t="s">
        <v>830</v>
      </c>
      <c r="D90" s="262">
        <v>0</v>
      </c>
      <c r="E90" s="297">
        <v>0</v>
      </c>
      <c r="F90" s="297">
        <v>0</v>
      </c>
      <c r="G90" s="413"/>
      <c r="H90" s="62"/>
      <c r="I90" s="62"/>
      <c r="J90" s="62"/>
      <c r="K90" s="62"/>
      <c r="L90" s="62"/>
      <c r="M90" s="62"/>
      <c r="N90" s="62"/>
    </row>
    <row r="91" spans="1:14" x14ac:dyDescent="0.25">
      <c r="A91" s="4"/>
      <c r="B91" s="316"/>
      <c r="C91" s="5" t="s">
        <v>93</v>
      </c>
      <c r="D91" s="164">
        <f>(D88+D89+D90)/3</f>
        <v>66.600000000000009</v>
      </c>
      <c r="E91" s="164">
        <f t="shared" ref="E91:F91" si="1">(E88+E89+E90)/3</f>
        <v>0.32057572783774946</v>
      </c>
      <c r="F91" s="164">
        <f t="shared" si="1"/>
        <v>0</v>
      </c>
      <c r="G91" s="413"/>
      <c r="H91" s="62"/>
      <c r="I91" s="62"/>
      <c r="J91" s="62"/>
      <c r="K91" s="62"/>
      <c r="L91" s="62"/>
      <c r="M91" s="62"/>
      <c r="N91" s="62"/>
    </row>
    <row r="92" spans="1:14" x14ac:dyDescent="0.2">
      <c r="A92" s="4"/>
      <c r="B92" s="316" t="s">
        <v>95</v>
      </c>
      <c r="C92" s="5" t="s">
        <v>832</v>
      </c>
      <c r="D92" s="114">
        <v>0.23680000000000001</v>
      </c>
      <c r="E92" s="93">
        <f>C30/1516.68*100</f>
        <v>-17.668196323548806</v>
      </c>
      <c r="F92" s="93">
        <f>D30/1346.59*100</f>
        <v>-12.632649878582198</v>
      </c>
      <c r="G92" s="413"/>
      <c r="H92" s="62"/>
      <c r="I92" s="62"/>
      <c r="J92" s="62"/>
      <c r="K92" s="62"/>
      <c r="L92" s="62"/>
      <c r="M92" s="62"/>
      <c r="N92" s="62"/>
    </row>
    <row r="93" spans="1:14" x14ac:dyDescent="0.25">
      <c r="A93" s="4"/>
      <c r="B93" s="316"/>
      <c r="C93" s="5" t="s">
        <v>92</v>
      </c>
      <c r="D93" s="262"/>
      <c r="E93" s="262"/>
      <c r="F93" s="262"/>
      <c r="G93" s="413"/>
      <c r="H93" s="62"/>
      <c r="I93" s="62"/>
      <c r="J93" s="62"/>
      <c r="K93" s="62"/>
      <c r="L93" s="62"/>
      <c r="M93" s="62"/>
      <c r="N93" s="62"/>
    </row>
    <row r="94" spans="1:14" x14ac:dyDescent="0.25">
      <c r="A94" s="4"/>
      <c r="B94" s="316"/>
      <c r="C94" s="25" t="s">
        <v>828</v>
      </c>
      <c r="D94" s="262">
        <v>0.19</v>
      </c>
      <c r="E94" s="262">
        <v>-16.059999999999999</v>
      </c>
      <c r="F94" s="262">
        <v>-3.52</v>
      </c>
      <c r="G94" s="413"/>
      <c r="H94" s="62"/>
      <c r="I94" s="62"/>
      <c r="J94" s="62"/>
      <c r="K94" s="62"/>
      <c r="L94" s="62"/>
      <c r="M94" s="62"/>
      <c r="N94" s="62"/>
    </row>
    <row r="95" spans="1:14" ht="25.5" x14ac:dyDescent="0.25">
      <c r="A95" s="4"/>
      <c r="B95" s="316"/>
      <c r="C95" s="25" t="s">
        <v>829</v>
      </c>
      <c r="D95" s="262">
        <v>2.71</v>
      </c>
      <c r="E95" s="262">
        <v>-3.19</v>
      </c>
      <c r="F95" s="262">
        <v>-5.86</v>
      </c>
      <c r="G95" s="413"/>
      <c r="H95" s="62"/>
      <c r="I95" s="62"/>
      <c r="J95" s="62"/>
      <c r="K95" s="62"/>
      <c r="L95" s="62"/>
      <c r="M95" s="62"/>
      <c r="N95" s="62"/>
    </row>
    <row r="96" spans="1:14" x14ac:dyDescent="0.25">
      <c r="A96" s="4"/>
      <c r="B96" s="316"/>
      <c r="C96" s="25" t="s">
        <v>830</v>
      </c>
      <c r="D96" s="262">
        <v>-4.29</v>
      </c>
      <c r="E96" s="262">
        <v>-63.87</v>
      </c>
      <c r="F96" s="262">
        <v>-191.62</v>
      </c>
      <c r="G96" s="413"/>
      <c r="H96" s="62"/>
      <c r="I96" s="62"/>
      <c r="J96" s="62"/>
      <c r="K96" s="62"/>
      <c r="L96" s="62"/>
      <c r="M96" s="62"/>
      <c r="N96" s="62"/>
    </row>
    <row r="97" spans="1:14" x14ac:dyDescent="0.25">
      <c r="A97" s="4"/>
      <c r="B97" s="316"/>
      <c r="C97" s="5" t="s">
        <v>93</v>
      </c>
      <c r="D97" s="164">
        <f>(D94+D95+D96)/3</f>
        <v>-0.46333333333333337</v>
      </c>
      <c r="E97" s="164">
        <f t="shared" ref="E97:F97" si="2">(E94+E95+E96)/3</f>
        <v>-27.706666666666667</v>
      </c>
      <c r="F97" s="164">
        <f t="shared" si="2"/>
        <v>-67</v>
      </c>
      <c r="G97" s="413"/>
      <c r="H97" s="62"/>
      <c r="I97" s="62"/>
      <c r="J97" s="62"/>
      <c r="K97" s="66"/>
      <c r="L97" s="62"/>
      <c r="M97" s="62"/>
      <c r="N97" s="62"/>
    </row>
    <row r="98" spans="1:14" x14ac:dyDescent="0.2">
      <c r="A98" s="4"/>
      <c r="B98" s="316" t="s">
        <v>96</v>
      </c>
      <c r="C98" s="5" t="s">
        <v>831</v>
      </c>
      <c r="D98" s="91"/>
      <c r="E98" s="91">
        <v>11.15</v>
      </c>
      <c r="F98" s="93">
        <f>1346.59/142.878</f>
        <v>9.4247539859180556</v>
      </c>
      <c r="G98" s="413"/>
      <c r="H98" s="62"/>
      <c r="I98" s="62"/>
      <c r="J98" s="62"/>
      <c r="K98" s="62"/>
      <c r="L98" s="62"/>
      <c r="M98" s="62"/>
      <c r="N98" s="62"/>
    </row>
    <row r="99" spans="1:14" x14ac:dyDescent="0.25">
      <c r="A99" s="4"/>
      <c r="B99" s="316"/>
      <c r="C99" s="5" t="s">
        <v>92</v>
      </c>
      <c r="D99" s="262"/>
      <c r="E99" s="262"/>
      <c r="F99" s="262"/>
      <c r="G99" s="413"/>
      <c r="H99" s="62"/>
      <c r="I99" s="62"/>
      <c r="J99" s="62"/>
      <c r="K99" s="62"/>
      <c r="L99" s="62"/>
      <c r="M99" s="62"/>
      <c r="N99" s="62"/>
    </row>
    <row r="100" spans="1:14" x14ac:dyDescent="0.25">
      <c r="A100" s="4"/>
      <c r="B100" s="386"/>
      <c r="C100" s="25" t="s">
        <v>828</v>
      </c>
      <c r="D100" s="262">
        <v>107.09</v>
      </c>
      <c r="E100" s="262">
        <v>126.83</v>
      </c>
      <c r="F100" s="262">
        <v>134.1</v>
      </c>
      <c r="G100" s="413"/>
      <c r="H100" s="62"/>
      <c r="I100" s="62"/>
      <c r="J100" s="62"/>
      <c r="K100" s="62"/>
      <c r="L100" s="62"/>
      <c r="M100" s="62"/>
      <c r="N100" s="62"/>
    </row>
    <row r="101" spans="1:14" ht="25.5" x14ac:dyDescent="0.25">
      <c r="A101" s="4"/>
      <c r="B101" s="386"/>
      <c r="C101" s="25" t="s">
        <v>829</v>
      </c>
      <c r="D101" s="262">
        <v>179.45</v>
      </c>
      <c r="E101" s="262">
        <v>174.1</v>
      </c>
      <c r="F101" s="262">
        <v>164.57</v>
      </c>
      <c r="G101" s="413"/>
      <c r="H101" s="62"/>
      <c r="I101" s="62"/>
      <c r="J101" s="62"/>
      <c r="K101" s="62"/>
      <c r="L101" s="62"/>
      <c r="M101" s="62"/>
      <c r="N101" s="62"/>
    </row>
    <row r="102" spans="1:14" x14ac:dyDescent="0.25">
      <c r="A102" s="4"/>
      <c r="B102" s="386"/>
      <c r="C102" s="25" t="s">
        <v>830</v>
      </c>
      <c r="D102" s="262">
        <v>33.380000000000003</v>
      </c>
      <c r="E102" s="262">
        <v>33.39</v>
      </c>
      <c r="F102" s="262">
        <v>27.2</v>
      </c>
      <c r="G102" s="413"/>
      <c r="H102" s="62"/>
      <c r="I102" s="62"/>
      <c r="J102" s="62"/>
      <c r="K102" s="62"/>
      <c r="L102" s="62"/>
      <c r="M102" s="62"/>
      <c r="N102" s="62"/>
    </row>
    <row r="103" spans="1:14" x14ac:dyDescent="0.25">
      <c r="A103" s="4"/>
      <c r="B103" s="386"/>
      <c r="C103" s="5" t="s">
        <v>93</v>
      </c>
      <c r="D103" s="164">
        <f>SUM(D100:D102)/3</f>
        <v>106.63999999999999</v>
      </c>
      <c r="E103" s="164">
        <f t="shared" ref="E103:F103" si="3">SUM(E100:E102)/3</f>
        <v>111.44</v>
      </c>
      <c r="F103" s="164">
        <f t="shared" si="3"/>
        <v>108.62333333333332</v>
      </c>
      <c r="G103" s="413"/>
      <c r="H103" s="62"/>
      <c r="I103" s="62"/>
      <c r="J103" s="62"/>
      <c r="K103" s="62"/>
      <c r="L103" s="62"/>
      <c r="M103" s="62"/>
      <c r="N103" s="62"/>
    </row>
    <row r="104" spans="1:14" s="57" customFormat="1" x14ac:dyDescent="0.25">
      <c r="B104" s="387"/>
      <c r="C104" s="388"/>
      <c r="D104" s="388"/>
      <c r="E104" s="388"/>
      <c r="F104" s="388"/>
      <c r="G104" s="389"/>
    </row>
    <row r="105" spans="1:14" ht="12.75" customHeight="1" x14ac:dyDescent="0.25">
      <c r="A105" s="4"/>
      <c r="B105" s="376" t="s">
        <v>833</v>
      </c>
      <c r="C105" s="377"/>
      <c r="D105" s="377"/>
      <c r="E105" s="377"/>
      <c r="F105" s="377"/>
      <c r="G105" s="378"/>
      <c r="H105" s="62"/>
      <c r="I105" s="62"/>
      <c r="J105" s="62"/>
      <c r="K105" s="62"/>
      <c r="L105" s="62"/>
      <c r="M105" s="62"/>
      <c r="N105" s="62"/>
    </row>
    <row r="106" spans="1:14" ht="12.75" customHeight="1" x14ac:dyDescent="0.25">
      <c r="A106" s="4"/>
      <c r="B106" s="379" t="s">
        <v>128</v>
      </c>
      <c r="C106" s="380"/>
      <c r="D106" s="380"/>
      <c r="E106" s="380"/>
      <c r="F106" s="380"/>
      <c r="G106" s="381"/>
      <c r="H106" s="62"/>
      <c r="I106" s="62"/>
      <c r="J106" s="62"/>
      <c r="K106" s="62"/>
      <c r="L106" s="62"/>
      <c r="M106" s="62"/>
      <c r="N106" s="62"/>
    </row>
    <row r="107" spans="1:14" x14ac:dyDescent="0.25">
      <c r="A107" s="4"/>
      <c r="B107" s="353"/>
      <c r="C107" s="354"/>
      <c r="D107" s="354"/>
      <c r="E107" s="354"/>
      <c r="F107" s="354"/>
      <c r="G107" s="355"/>
      <c r="H107" s="62"/>
      <c r="I107" s="62"/>
      <c r="J107" s="62"/>
      <c r="K107" s="62"/>
      <c r="L107" s="62"/>
      <c r="M107" s="62"/>
      <c r="N107" s="62"/>
    </row>
    <row r="108" spans="1:14" x14ac:dyDescent="0.25">
      <c r="B108" s="12"/>
      <c r="C108" s="323"/>
      <c r="D108" s="323"/>
      <c r="E108" s="323"/>
      <c r="F108" s="323"/>
      <c r="G108" s="323"/>
      <c r="H108" s="62"/>
      <c r="I108" s="62"/>
    </row>
    <row r="109" spans="1:14" x14ac:dyDescent="0.25">
      <c r="A109" s="13">
        <v>14</v>
      </c>
      <c r="B109" s="70" t="s">
        <v>99</v>
      </c>
      <c r="C109" s="324" t="s">
        <v>48</v>
      </c>
      <c r="D109" s="325"/>
      <c r="E109" s="325"/>
      <c r="F109" s="325"/>
      <c r="G109" s="326"/>
    </row>
    <row r="110" spans="1:14" x14ac:dyDescent="0.25">
      <c r="A110" s="269"/>
      <c r="C110" s="84"/>
      <c r="D110" s="84"/>
      <c r="E110" s="84"/>
      <c r="F110" s="84"/>
      <c r="G110" s="84"/>
    </row>
    <row r="111" spans="1:14" x14ac:dyDescent="0.25">
      <c r="C111" s="84"/>
      <c r="D111" s="84"/>
      <c r="E111" s="84"/>
      <c r="F111" s="84"/>
      <c r="G111" s="84"/>
    </row>
    <row r="113" spans="2:8" ht="12.75" customHeight="1" x14ac:dyDescent="0.25">
      <c r="B113" s="374" t="s">
        <v>824</v>
      </c>
      <c r="C113" s="375"/>
      <c r="D113" s="375"/>
      <c r="E113" s="375"/>
      <c r="F113" s="375"/>
      <c r="G113" s="375"/>
      <c r="H113" s="375"/>
    </row>
    <row r="118" spans="2:8" x14ac:dyDescent="0.25">
      <c r="D118" s="242"/>
      <c r="E118" s="242"/>
    </row>
    <row r="119" spans="2:8" x14ac:dyDescent="0.25">
      <c r="E119" s="242"/>
    </row>
  </sheetData>
  <sheetProtection password="DB00" sheet="1" objects="1" scenarios="1"/>
  <mergeCells count="59">
    <mergeCell ref="B113:H113"/>
    <mergeCell ref="B104:G104"/>
    <mergeCell ref="B105:G105"/>
    <mergeCell ref="B106:G106"/>
    <mergeCell ref="B107:G107"/>
    <mergeCell ref="C108:G108"/>
    <mergeCell ref="C109:G109"/>
    <mergeCell ref="B74:N74"/>
    <mergeCell ref="B75:N75"/>
    <mergeCell ref="B77:G77"/>
    <mergeCell ref="B80:B85"/>
    <mergeCell ref="G80:G103"/>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4:E44"/>
    <mergeCell ref="C45:E45"/>
    <mergeCell ref="B46:E46"/>
    <mergeCell ref="B48:E48"/>
    <mergeCell ref="B51:E51"/>
    <mergeCell ref="B53:E53"/>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2"/>
  <sheetViews>
    <sheetView topLeftCell="A64" workbookViewId="0">
      <selection activeCell="B74" sqref="B74:N74"/>
    </sheetView>
  </sheetViews>
  <sheetFormatPr defaultRowHeight="15" x14ac:dyDescent="0.25"/>
  <cols>
    <col min="2" max="2" width="46.140625" bestFit="1" customWidth="1"/>
    <col min="3" max="3" width="34.140625" bestFit="1" customWidth="1"/>
  </cols>
  <sheetData>
    <row r="2" spans="1:14" x14ac:dyDescent="0.25">
      <c r="A2" s="369" t="s">
        <v>0</v>
      </c>
      <c r="B2" s="369"/>
      <c r="C2" s="26"/>
      <c r="D2" s="2"/>
      <c r="E2" s="26"/>
      <c r="F2" s="26"/>
      <c r="G2" s="26"/>
      <c r="H2" s="26"/>
      <c r="I2" s="26"/>
      <c r="J2" s="26"/>
      <c r="K2" s="26"/>
      <c r="L2" s="26"/>
      <c r="M2" s="26"/>
      <c r="N2" s="26"/>
    </row>
    <row r="3" spans="1:14" x14ac:dyDescent="0.25">
      <c r="A3" s="26"/>
      <c r="B3" s="26"/>
      <c r="C3" s="26"/>
      <c r="D3" s="26"/>
      <c r="E3" s="26"/>
      <c r="F3" s="26"/>
      <c r="G3" s="26"/>
      <c r="H3" s="26"/>
      <c r="I3" s="26"/>
      <c r="J3" s="26"/>
      <c r="K3" s="26"/>
      <c r="L3" s="26"/>
      <c r="M3" s="26"/>
      <c r="N3" s="26"/>
    </row>
    <row r="4" spans="1:14" x14ac:dyDescent="0.25">
      <c r="A4" s="4" t="s">
        <v>1</v>
      </c>
      <c r="B4" s="5" t="s">
        <v>2</v>
      </c>
      <c r="C4" s="70" t="s">
        <v>898</v>
      </c>
      <c r="D4" s="26"/>
      <c r="E4" s="26"/>
      <c r="F4" s="26"/>
      <c r="G4" s="26"/>
      <c r="H4" s="26"/>
      <c r="I4" s="12"/>
      <c r="J4" s="12"/>
      <c r="K4" s="12"/>
      <c r="L4" s="12"/>
      <c r="M4" s="12"/>
      <c r="N4" s="12"/>
    </row>
    <row r="5" spans="1:14" x14ac:dyDescent="0.25">
      <c r="A5" s="26"/>
      <c r="B5" s="26"/>
      <c r="C5" s="26"/>
      <c r="D5" s="9"/>
      <c r="E5" s="26"/>
      <c r="F5" s="12"/>
      <c r="G5" s="12"/>
      <c r="H5" s="12"/>
      <c r="I5" s="12"/>
      <c r="J5" s="12"/>
      <c r="K5" s="12"/>
      <c r="L5" s="12"/>
      <c r="M5" s="12"/>
      <c r="N5" s="12"/>
    </row>
    <row r="6" spans="1:14" x14ac:dyDescent="0.25">
      <c r="A6" s="273">
        <v>1</v>
      </c>
      <c r="B6" s="11" t="s">
        <v>4</v>
      </c>
      <c r="C6" s="324" t="s">
        <v>759</v>
      </c>
      <c r="D6" s="325"/>
      <c r="E6" s="370"/>
      <c r="F6" s="12"/>
      <c r="G6" s="12"/>
      <c r="H6" s="12"/>
      <c r="I6" s="12"/>
      <c r="J6" s="12"/>
      <c r="K6" s="12"/>
      <c r="L6" s="12"/>
      <c r="M6" s="12"/>
      <c r="N6" s="12"/>
    </row>
    <row r="7" spans="1:14" x14ac:dyDescent="0.25">
      <c r="A7" s="13"/>
      <c r="B7" s="382" t="s">
        <v>6</v>
      </c>
      <c r="C7" s="382"/>
      <c r="D7" s="382"/>
      <c r="E7" s="14"/>
      <c r="F7" s="12"/>
      <c r="G7" s="12"/>
      <c r="H7" s="12"/>
      <c r="I7" s="12"/>
      <c r="J7" s="12"/>
      <c r="K7" s="12"/>
      <c r="L7" s="12"/>
      <c r="M7" s="12"/>
      <c r="N7" s="12"/>
    </row>
    <row r="8" spans="1:14" x14ac:dyDescent="0.25">
      <c r="A8" s="13"/>
      <c r="B8" s="15"/>
      <c r="C8" s="12"/>
      <c r="D8" s="9"/>
      <c r="E8" s="12"/>
      <c r="F8" s="12"/>
      <c r="G8" s="12"/>
      <c r="H8" s="12"/>
      <c r="I8" s="12"/>
      <c r="J8" s="12"/>
      <c r="K8" s="12"/>
      <c r="L8" s="12"/>
      <c r="M8" s="12"/>
      <c r="N8" s="12"/>
    </row>
    <row r="9" spans="1:14" x14ac:dyDescent="0.25">
      <c r="A9" s="13">
        <v>2</v>
      </c>
      <c r="B9" s="11" t="s">
        <v>7</v>
      </c>
      <c r="C9" s="16" t="s">
        <v>899</v>
      </c>
      <c r="D9" s="9"/>
      <c r="E9" s="12"/>
      <c r="F9" s="12"/>
      <c r="G9" s="12"/>
      <c r="H9" s="12"/>
      <c r="I9" s="12"/>
      <c r="J9" s="12"/>
      <c r="K9" s="12"/>
      <c r="L9" s="12"/>
      <c r="M9" s="12"/>
      <c r="N9" s="12"/>
    </row>
    <row r="10" spans="1:14" x14ac:dyDescent="0.25">
      <c r="A10" s="13"/>
      <c r="B10" s="400" t="s">
        <v>6</v>
      </c>
      <c r="C10" s="401"/>
      <c r="D10" s="402"/>
      <c r="E10" s="12"/>
      <c r="F10" s="12"/>
      <c r="G10" s="12"/>
      <c r="H10" s="12"/>
      <c r="I10" s="12"/>
      <c r="J10" s="12"/>
      <c r="K10" s="12"/>
      <c r="L10" s="12"/>
      <c r="M10" s="12"/>
      <c r="N10" s="12"/>
    </row>
    <row r="11" spans="1:14" x14ac:dyDescent="0.25">
      <c r="A11" s="13"/>
      <c r="B11" s="15"/>
      <c r="C11" s="12"/>
      <c r="D11" s="9"/>
      <c r="E11" s="12"/>
      <c r="F11" s="12"/>
      <c r="G11" s="12"/>
      <c r="H11" s="12"/>
      <c r="I11" s="12"/>
      <c r="J11" s="12"/>
      <c r="K11" s="12"/>
      <c r="L11" s="12"/>
      <c r="M11" s="12"/>
      <c r="N11" s="12"/>
    </row>
    <row r="12" spans="1:14" x14ac:dyDescent="0.25">
      <c r="A12" s="13">
        <v>3</v>
      </c>
      <c r="B12" s="11" t="s">
        <v>9</v>
      </c>
      <c r="C12" s="324" t="s">
        <v>10</v>
      </c>
      <c r="D12" s="325"/>
      <c r="E12" s="370"/>
      <c r="F12" s="26"/>
      <c r="G12" s="26"/>
      <c r="H12" s="26"/>
      <c r="I12" s="26"/>
      <c r="J12" s="26"/>
      <c r="K12" s="26"/>
      <c r="L12" s="26"/>
      <c r="M12" s="26"/>
      <c r="N12" s="26"/>
    </row>
    <row r="13" spans="1:14" x14ac:dyDescent="0.25">
      <c r="A13" s="13"/>
      <c r="B13" s="382" t="s">
        <v>6</v>
      </c>
      <c r="C13" s="382"/>
      <c r="D13" s="382"/>
      <c r="E13" s="14"/>
      <c r="F13" s="26"/>
      <c r="G13" s="26"/>
      <c r="H13" s="26"/>
      <c r="I13" s="26"/>
      <c r="J13" s="26"/>
      <c r="K13" s="26"/>
      <c r="L13" s="26"/>
      <c r="M13" s="26"/>
      <c r="N13" s="26"/>
    </row>
    <row r="14" spans="1:14" x14ac:dyDescent="0.25">
      <c r="A14" s="13"/>
      <c r="B14" s="15"/>
      <c r="C14" s="12"/>
      <c r="D14" s="9"/>
      <c r="E14" s="26"/>
      <c r="F14" s="26"/>
      <c r="G14" s="26"/>
      <c r="H14" s="26"/>
      <c r="I14" s="26"/>
      <c r="J14" s="26"/>
      <c r="K14" s="26"/>
      <c r="L14" s="26"/>
      <c r="M14" s="26"/>
      <c r="N14" s="26"/>
    </row>
    <row r="15" spans="1:14" x14ac:dyDescent="0.25">
      <c r="A15" s="13">
        <v>4</v>
      </c>
      <c r="B15" s="5" t="s">
        <v>11</v>
      </c>
      <c r="C15" s="261" t="s">
        <v>900</v>
      </c>
      <c r="D15" s="9"/>
      <c r="E15" s="26"/>
      <c r="F15" s="26"/>
      <c r="G15" s="26"/>
      <c r="H15" s="26"/>
      <c r="I15" s="26"/>
      <c r="J15" s="26"/>
      <c r="K15" s="26"/>
      <c r="L15" s="26"/>
      <c r="M15" s="26"/>
      <c r="N15" s="26"/>
    </row>
    <row r="16" spans="1:14" x14ac:dyDescent="0.25">
      <c r="A16" s="13"/>
      <c r="B16" s="353" t="s">
        <v>13</v>
      </c>
      <c r="C16" s="385"/>
      <c r="D16" s="9"/>
      <c r="E16" s="26"/>
      <c r="F16" s="12"/>
      <c r="G16" s="26"/>
      <c r="H16" s="26"/>
      <c r="I16" s="26"/>
      <c r="J16" s="26"/>
      <c r="K16" s="26"/>
      <c r="L16" s="26"/>
      <c r="M16" s="26"/>
      <c r="N16" s="26"/>
    </row>
    <row r="17" spans="1:14" x14ac:dyDescent="0.25">
      <c r="A17" s="13"/>
      <c r="B17" s="26"/>
      <c r="C17" s="12"/>
      <c r="D17" s="9"/>
      <c r="E17" s="26"/>
      <c r="F17" s="26"/>
      <c r="G17" s="26"/>
      <c r="H17" s="26"/>
      <c r="I17" s="26"/>
      <c r="J17" s="26"/>
      <c r="K17" s="26"/>
      <c r="L17" s="26"/>
      <c r="M17" s="26"/>
      <c r="N17" s="26"/>
    </row>
    <row r="18" spans="1:14" x14ac:dyDescent="0.25">
      <c r="A18" s="13">
        <v>5</v>
      </c>
      <c r="B18" s="333" t="s">
        <v>14</v>
      </c>
      <c r="C18" s="372"/>
      <c r="D18" s="372"/>
      <c r="E18" s="372"/>
      <c r="F18" s="15"/>
      <c r="G18" s="15"/>
      <c r="H18" s="15"/>
      <c r="I18" s="15"/>
      <c r="J18" s="17"/>
      <c r="K18" s="17"/>
      <c r="L18" s="17"/>
      <c r="M18" s="17"/>
      <c r="N18" s="17"/>
    </row>
    <row r="19" spans="1:14" x14ac:dyDescent="0.25">
      <c r="A19" s="13"/>
      <c r="B19" s="268" t="s">
        <v>15</v>
      </c>
      <c r="C19" s="373" t="s">
        <v>16</v>
      </c>
      <c r="D19" s="373"/>
      <c r="E19" s="373"/>
      <c r="F19" s="19"/>
      <c r="G19" s="17"/>
      <c r="H19" s="17"/>
      <c r="I19" s="17"/>
      <c r="J19" s="17"/>
      <c r="K19" s="17"/>
      <c r="L19" s="17"/>
      <c r="M19" s="17"/>
      <c r="N19" s="17"/>
    </row>
    <row r="20" spans="1:14" ht="25.5" x14ac:dyDescent="0.25">
      <c r="A20" s="13"/>
      <c r="B20" s="268" t="s">
        <v>901</v>
      </c>
      <c r="C20" s="363" t="s">
        <v>16</v>
      </c>
      <c r="D20" s="363"/>
      <c r="E20" s="363"/>
      <c r="F20" s="19"/>
      <c r="G20" s="17"/>
      <c r="H20" s="26"/>
      <c r="I20" s="17"/>
      <c r="J20" s="17"/>
      <c r="K20" s="17"/>
      <c r="L20" s="17"/>
      <c r="M20" s="17"/>
      <c r="N20" s="17"/>
    </row>
    <row r="21" spans="1:14" x14ac:dyDescent="0.25">
      <c r="A21" s="13"/>
      <c r="B21" s="268" t="s">
        <v>664</v>
      </c>
      <c r="C21" s="363" t="s">
        <v>16</v>
      </c>
      <c r="D21" s="363"/>
      <c r="E21" s="363"/>
      <c r="F21" s="19"/>
      <c r="G21" s="17"/>
      <c r="H21" s="17"/>
      <c r="I21" s="17"/>
      <c r="J21" s="17"/>
      <c r="K21" s="17"/>
      <c r="L21" s="17"/>
      <c r="M21" s="17"/>
      <c r="N21" s="17"/>
    </row>
    <row r="22" spans="1:14" x14ac:dyDescent="0.25">
      <c r="A22" s="13"/>
      <c r="B22" s="268" t="s">
        <v>19</v>
      </c>
      <c r="C22" s="363" t="s">
        <v>382</v>
      </c>
      <c r="D22" s="363"/>
      <c r="E22" s="363"/>
      <c r="F22" s="19"/>
      <c r="G22" s="17"/>
      <c r="H22" s="17"/>
      <c r="I22" s="17"/>
      <c r="J22" s="17"/>
      <c r="K22" s="17"/>
      <c r="L22" s="17"/>
      <c r="M22" s="17"/>
      <c r="N22" s="17"/>
    </row>
    <row r="23" spans="1:14" x14ac:dyDescent="0.25">
      <c r="A23" s="13"/>
      <c r="B23" s="20" t="s">
        <v>20</v>
      </c>
      <c r="C23" s="426" t="s">
        <v>263</v>
      </c>
      <c r="D23" s="426"/>
      <c r="E23" s="426"/>
      <c r="F23" s="19"/>
      <c r="G23" s="17"/>
      <c r="H23" s="17"/>
      <c r="I23" s="17"/>
      <c r="J23" s="17"/>
      <c r="K23" s="17"/>
      <c r="L23" s="17"/>
      <c r="M23" s="17"/>
      <c r="N23" s="17"/>
    </row>
    <row r="24" spans="1:14" x14ac:dyDescent="0.25">
      <c r="A24" s="13"/>
      <c r="B24" s="353" t="s">
        <v>769</v>
      </c>
      <c r="C24" s="354"/>
      <c r="D24" s="354"/>
      <c r="E24" s="355"/>
      <c r="F24" s="19"/>
      <c r="G24" s="17"/>
      <c r="H24" s="17"/>
      <c r="I24" s="17"/>
      <c r="J24" s="17"/>
      <c r="K24" s="17"/>
      <c r="L24" s="17"/>
      <c r="M24" s="17"/>
      <c r="N24" s="17"/>
    </row>
    <row r="25" spans="1:14" x14ac:dyDescent="0.25">
      <c r="A25" s="13"/>
      <c r="B25" s="26"/>
      <c r="C25" s="17"/>
      <c r="D25" s="17"/>
      <c r="E25" s="17"/>
      <c r="F25" s="19"/>
      <c r="G25" s="17"/>
      <c r="H25" s="17"/>
      <c r="I25" s="17"/>
      <c r="J25" s="17"/>
      <c r="K25" s="17"/>
      <c r="L25" s="17"/>
      <c r="M25" s="17"/>
      <c r="N25" s="17"/>
    </row>
    <row r="26" spans="1:14" x14ac:dyDescent="0.25">
      <c r="A26" s="13"/>
      <c r="B26" s="19"/>
      <c r="C26" s="19"/>
      <c r="D26" s="19"/>
      <c r="E26" s="19"/>
      <c r="F26" s="19"/>
      <c r="G26" s="17"/>
      <c r="H26" s="17"/>
      <c r="I26" s="17"/>
      <c r="J26" s="17"/>
      <c r="K26" s="17"/>
      <c r="L26" s="17"/>
      <c r="M26" s="17"/>
      <c r="N26" s="17"/>
    </row>
    <row r="27" spans="1:14" x14ac:dyDescent="0.25">
      <c r="A27" s="13">
        <v>6</v>
      </c>
      <c r="B27" s="333" t="s">
        <v>22</v>
      </c>
      <c r="C27" s="333"/>
      <c r="D27" s="333"/>
      <c r="E27" s="333"/>
      <c r="F27" s="15"/>
      <c r="G27" s="15"/>
      <c r="H27" s="17"/>
      <c r="I27" s="15"/>
      <c r="J27" s="15"/>
      <c r="K27" s="26"/>
      <c r="L27" s="26"/>
      <c r="M27" s="26"/>
      <c r="N27" s="26"/>
    </row>
    <row r="28" spans="1:14" x14ac:dyDescent="0.25">
      <c r="A28" s="13"/>
      <c r="B28" s="364" t="s">
        <v>23</v>
      </c>
      <c r="C28" s="365"/>
      <c r="D28" s="365"/>
      <c r="E28" s="366"/>
      <c r="F28" s="19"/>
      <c r="G28" s="26"/>
      <c r="H28" s="26"/>
      <c r="I28" s="26"/>
      <c r="J28" s="26"/>
      <c r="K28" s="26"/>
      <c r="L28" s="26"/>
      <c r="M28" s="26"/>
      <c r="N28" s="26"/>
    </row>
    <row r="29" spans="1:14" x14ac:dyDescent="0.25">
      <c r="A29" s="13"/>
      <c r="B29" s="259" t="s">
        <v>24</v>
      </c>
      <c r="C29" s="267" t="s">
        <v>324</v>
      </c>
      <c r="D29" s="267" t="s">
        <v>325</v>
      </c>
      <c r="E29" s="267" t="s">
        <v>27</v>
      </c>
      <c r="F29" s="19"/>
      <c r="G29" s="274"/>
      <c r="H29" s="26"/>
      <c r="I29" s="26"/>
      <c r="J29" s="26"/>
      <c r="K29" s="26"/>
      <c r="L29" s="26"/>
      <c r="M29" s="26"/>
      <c r="N29" s="26"/>
    </row>
    <row r="30" spans="1:14" x14ac:dyDescent="0.25">
      <c r="A30" s="13"/>
      <c r="B30" s="263" t="s">
        <v>28</v>
      </c>
      <c r="C30" s="275">
        <v>1275.0999999999999</v>
      </c>
      <c r="D30" s="367" t="s">
        <v>326</v>
      </c>
      <c r="E30" s="367" t="s">
        <v>265</v>
      </c>
      <c r="F30" s="19"/>
      <c r="G30" s="26"/>
      <c r="H30" s="26"/>
      <c r="I30" s="26"/>
      <c r="J30" s="26"/>
      <c r="K30" s="26"/>
      <c r="L30" s="26"/>
      <c r="M30" s="26"/>
      <c r="N30" s="26"/>
    </row>
    <row r="31" spans="1:14" x14ac:dyDescent="0.25">
      <c r="A31" s="13"/>
      <c r="B31" s="263" t="s">
        <v>29</v>
      </c>
      <c r="C31" s="275">
        <v>619.78</v>
      </c>
      <c r="D31" s="367"/>
      <c r="E31" s="367"/>
      <c r="F31" s="19"/>
      <c r="G31" s="26"/>
      <c r="H31" s="26"/>
      <c r="I31" s="26"/>
      <c r="J31" s="26"/>
      <c r="K31" s="26"/>
      <c r="L31" s="26"/>
      <c r="M31" s="26"/>
      <c r="N31" s="26"/>
    </row>
    <row r="32" spans="1:14" x14ac:dyDescent="0.25">
      <c r="A32" s="13"/>
      <c r="B32" s="263" t="s">
        <v>30</v>
      </c>
      <c r="C32" s="275">
        <v>1734.16</v>
      </c>
      <c r="D32" s="367"/>
      <c r="E32" s="367"/>
      <c r="F32" s="19"/>
      <c r="G32" s="26"/>
      <c r="H32" s="26"/>
      <c r="I32" s="26"/>
      <c r="J32" s="26"/>
      <c r="K32" s="26"/>
      <c r="L32" s="26"/>
      <c r="M32" s="26"/>
      <c r="N32" s="26"/>
    </row>
    <row r="33" spans="1:14" x14ac:dyDescent="0.25">
      <c r="A33" s="13"/>
      <c r="B33" s="263" t="s">
        <v>31</v>
      </c>
      <c r="C33" s="80">
        <v>971.71</v>
      </c>
      <c r="D33" s="367"/>
      <c r="E33" s="367"/>
      <c r="F33" s="19"/>
      <c r="G33" s="26"/>
      <c r="H33" s="26"/>
      <c r="I33" s="26"/>
      <c r="J33" s="26"/>
      <c r="K33" s="26"/>
      <c r="L33" s="26"/>
      <c r="M33" s="26"/>
      <c r="N33" s="26"/>
    </row>
    <row r="34" spans="1:14" x14ac:dyDescent="0.25">
      <c r="A34" s="13"/>
      <c r="B34" s="445" t="s">
        <v>769</v>
      </c>
      <c r="C34" s="445"/>
      <c r="D34" s="445"/>
      <c r="E34" s="445"/>
      <c r="F34" s="19"/>
      <c r="G34" s="26"/>
      <c r="H34" s="26"/>
      <c r="I34" s="26"/>
      <c r="J34" s="26"/>
      <c r="K34" s="26"/>
      <c r="L34" s="26"/>
      <c r="M34" s="26"/>
      <c r="N34" s="26"/>
    </row>
    <row r="35" spans="1:14" x14ac:dyDescent="0.25">
      <c r="A35" s="13"/>
      <c r="B35" s="17"/>
      <c r="C35" s="19"/>
      <c r="D35" s="19"/>
      <c r="E35" s="19"/>
      <c r="F35" s="19"/>
      <c r="G35" s="26"/>
      <c r="H35" s="26"/>
      <c r="I35" s="26"/>
      <c r="J35" s="26"/>
      <c r="K35" s="26"/>
      <c r="L35" s="26"/>
      <c r="M35" s="26"/>
      <c r="N35" s="26"/>
    </row>
    <row r="36" spans="1:14" x14ac:dyDescent="0.25">
      <c r="A36" s="13">
        <v>7</v>
      </c>
      <c r="B36" s="333" t="s">
        <v>33</v>
      </c>
      <c r="C36" s="333"/>
      <c r="D36" s="333"/>
      <c r="E36" s="333"/>
      <c r="F36" s="15"/>
      <c r="G36" s="15"/>
      <c r="H36" s="15"/>
      <c r="I36" s="15"/>
      <c r="J36" s="15"/>
      <c r="K36" s="26"/>
      <c r="L36" s="26"/>
      <c r="M36" s="26"/>
      <c r="N36" s="26"/>
    </row>
    <row r="37" spans="1:14" x14ac:dyDescent="0.25">
      <c r="A37" s="13"/>
      <c r="B37" s="258" t="s">
        <v>34</v>
      </c>
      <c r="C37" s="260" t="s">
        <v>902</v>
      </c>
      <c r="D37" s="17"/>
      <c r="E37" s="17"/>
      <c r="F37" s="17"/>
      <c r="G37" s="26"/>
      <c r="H37" s="26"/>
      <c r="I37" s="26"/>
      <c r="J37" s="26"/>
      <c r="K37" s="26"/>
      <c r="L37" s="26"/>
      <c r="M37" s="26"/>
      <c r="N37" s="26"/>
    </row>
    <row r="38" spans="1:14" x14ac:dyDescent="0.25">
      <c r="A38" s="13"/>
      <c r="B38" s="258" t="s">
        <v>36</v>
      </c>
      <c r="C38" s="260" t="s">
        <v>382</v>
      </c>
      <c r="D38" s="17"/>
      <c r="E38" s="17"/>
      <c r="F38" s="17"/>
      <c r="G38" s="26"/>
      <c r="H38" s="26"/>
      <c r="I38" s="26"/>
      <c r="J38" s="26"/>
      <c r="K38" s="26"/>
      <c r="L38" s="26"/>
      <c r="M38" s="26"/>
      <c r="N38" s="26"/>
    </row>
    <row r="39" spans="1:14" x14ac:dyDescent="0.25">
      <c r="A39" s="13"/>
      <c r="B39" s="259" t="s">
        <v>37</v>
      </c>
      <c r="C39" s="271" t="s">
        <v>263</v>
      </c>
      <c r="D39" s="17"/>
      <c r="E39" s="17"/>
      <c r="F39" s="17"/>
      <c r="G39" s="26"/>
      <c r="H39" s="26"/>
      <c r="I39" s="26"/>
      <c r="J39" s="26"/>
      <c r="K39" s="26"/>
      <c r="L39" s="26"/>
      <c r="M39" s="26"/>
      <c r="N39" s="26"/>
    </row>
    <row r="40" spans="1:14" x14ac:dyDescent="0.25">
      <c r="A40" s="13"/>
      <c r="B40" s="382" t="s">
        <v>769</v>
      </c>
      <c r="C40" s="382"/>
      <c r="D40" s="17"/>
      <c r="E40" s="17"/>
      <c r="F40" s="17"/>
      <c r="G40" s="26"/>
      <c r="H40" s="26"/>
      <c r="I40" s="26"/>
      <c r="J40" s="26"/>
      <c r="K40" s="26"/>
      <c r="L40" s="26"/>
      <c r="M40" s="26"/>
      <c r="N40" s="26"/>
    </row>
    <row r="41" spans="1:14" x14ac:dyDescent="0.25">
      <c r="A41" s="13"/>
      <c r="B41" s="12"/>
      <c r="C41" s="17"/>
      <c r="D41" s="17"/>
      <c r="E41" s="17"/>
      <c r="F41" s="17"/>
      <c r="G41" s="26"/>
      <c r="H41" s="26"/>
      <c r="I41" s="26"/>
      <c r="J41" s="26"/>
      <c r="K41" s="26"/>
      <c r="L41" s="26"/>
      <c r="M41" s="26"/>
      <c r="N41" s="26"/>
    </row>
    <row r="42" spans="1:14" x14ac:dyDescent="0.25">
      <c r="A42" s="13"/>
      <c r="B42" s="19"/>
      <c r="C42" s="17"/>
      <c r="D42" s="17"/>
      <c r="E42" s="17"/>
      <c r="F42" s="17"/>
      <c r="G42" s="26"/>
      <c r="H42" s="26"/>
      <c r="I42" s="26"/>
      <c r="J42" s="26"/>
      <c r="K42" s="26"/>
      <c r="L42" s="26"/>
      <c r="M42" s="26"/>
      <c r="N42" s="26"/>
    </row>
    <row r="43" spans="1:14" x14ac:dyDescent="0.25">
      <c r="A43" s="13">
        <v>8</v>
      </c>
      <c r="B43" s="333" t="s">
        <v>38</v>
      </c>
      <c r="C43" s="333"/>
      <c r="D43" s="333"/>
      <c r="E43" s="333"/>
      <c r="F43" s="15"/>
      <c r="G43" s="15"/>
      <c r="H43" s="15"/>
      <c r="I43" s="15"/>
      <c r="J43" s="15"/>
      <c r="K43" s="26"/>
      <c r="L43" s="26"/>
      <c r="M43" s="26"/>
      <c r="N43" s="26"/>
    </row>
    <row r="44" spans="1:14" x14ac:dyDescent="0.25">
      <c r="A44" s="13"/>
      <c r="B44" s="258" t="s">
        <v>39</v>
      </c>
      <c r="C44" s="350" t="s">
        <v>815</v>
      </c>
      <c r="D44" s="351"/>
      <c r="E44" s="352"/>
      <c r="F44" s="17"/>
      <c r="G44" s="26"/>
      <c r="H44" s="26"/>
      <c r="I44" s="26"/>
      <c r="J44" s="26"/>
      <c r="K44" s="26"/>
      <c r="L44" s="26"/>
      <c r="M44" s="26"/>
      <c r="N44" s="26"/>
    </row>
    <row r="45" spans="1:14" x14ac:dyDescent="0.25">
      <c r="A45" s="13"/>
      <c r="B45" s="258" t="s">
        <v>36</v>
      </c>
      <c r="C45" s="350" t="s">
        <v>382</v>
      </c>
      <c r="D45" s="351"/>
      <c r="E45" s="352"/>
      <c r="F45" s="17"/>
      <c r="G45" s="26"/>
      <c r="H45" s="26"/>
      <c r="I45" s="26"/>
      <c r="J45" s="26"/>
      <c r="K45" s="26"/>
      <c r="L45" s="26"/>
      <c r="M45" s="26"/>
      <c r="N45" s="26"/>
    </row>
    <row r="46" spans="1:14" x14ac:dyDescent="0.25">
      <c r="A46" s="13"/>
      <c r="B46" s="258" t="s">
        <v>37</v>
      </c>
      <c r="C46" s="367" t="s">
        <v>263</v>
      </c>
      <c r="D46" s="367"/>
      <c r="E46" s="367"/>
      <c r="F46" s="17"/>
      <c r="G46" s="26"/>
      <c r="H46" s="26"/>
      <c r="I46" s="26"/>
      <c r="J46" s="26"/>
      <c r="K46" s="26"/>
      <c r="L46" s="26"/>
      <c r="M46" s="26"/>
      <c r="N46" s="26"/>
    </row>
    <row r="47" spans="1:14" x14ac:dyDescent="0.25">
      <c r="A47" s="13"/>
      <c r="B47" s="353" t="s">
        <v>40</v>
      </c>
      <c r="C47" s="354"/>
      <c r="D47" s="354"/>
      <c r="E47" s="355"/>
      <c r="F47" s="17"/>
      <c r="G47" s="26"/>
      <c r="H47" s="26"/>
      <c r="I47" s="26"/>
      <c r="J47" s="26"/>
      <c r="K47" s="26"/>
      <c r="L47" s="26"/>
      <c r="M47" s="26"/>
      <c r="N47" s="26"/>
    </row>
    <row r="48" spans="1:14" x14ac:dyDescent="0.25">
      <c r="A48" s="4"/>
      <c r="B48" s="12"/>
      <c r="C48" s="12"/>
      <c r="D48" s="28"/>
      <c r="E48" s="17"/>
      <c r="F48" s="26"/>
      <c r="G48" s="26"/>
      <c r="H48" s="26"/>
      <c r="I48" s="26"/>
      <c r="J48" s="26"/>
      <c r="K48" s="26"/>
      <c r="L48" s="26"/>
      <c r="M48" s="26"/>
      <c r="N48" s="26"/>
    </row>
    <row r="49" spans="1:14" x14ac:dyDescent="0.25">
      <c r="A49" s="276">
        <v>9</v>
      </c>
      <c r="B49" s="340" t="s">
        <v>41</v>
      </c>
      <c r="C49" s="333"/>
      <c r="D49" s="333"/>
      <c r="E49" s="333"/>
      <c r="F49" s="30"/>
      <c r="G49" s="15"/>
      <c r="H49" s="15"/>
      <c r="I49" s="15"/>
      <c r="J49" s="26"/>
      <c r="K49" s="26"/>
      <c r="L49" s="26"/>
      <c r="M49" s="26"/>
      <c r="N49" s="26"/>
    </row>
    <row r="50" spans="1:14" ht="89.25" x14ac:dyDescent="0.25">
      <c r="A50" s="276"/>
      <c r="B50" s="265" t="s">
        <v>42</v>
      </c>
      <c r="C50" s="32" t="s">
        <v>43</v>
      </c>
      <c r="D50" s="33" t="s">
        <v>44</v>
      </c>
      <c r="E50" s="32" t="s">
        <v>268</v>
      </c>
      <c r="F50" s="26"/>
      <c r="G50" s="26"/>
      <c r="H50" s="26"/>
      <c r="I50" s="26"/>
      <c r="J50" s="26"/>
      <c r="K50" s="26"/>
      <c r="L50" s="26"/>
      <c r="M50" s="26"/>
      <c r="N50" s="26"/>
    </row>
    <row r="51" spans="1:14" ht="76.5" x14ac:dyDescent="0.25">
      <c r="A51" s="34"/>
      <c r="B51" s="94" t="s">
        <v>369</v>
      </c>
      <c r="C51" s="94" t="s">
        <v>903</v>
      </c>
      <c r="D51" s="148" t="s">
        <v>248</v>
      </c>
      <c r="E51" s="148" t="s">
        <v>248</v>
      </c>
      <c r="F51" s="26"/>
      <c r="G51" s="26"/>
      <c r="H51" s="26"/>
      <c r="I51" s="26"/>
      <c r="J51" s="26"/>
      <c r="K51" s="26"/>
      <c r="L51" s="26"/>
      <c r="M51" s="26"/>
      <c r="N51" s="26"/>
    </row>
    <row r="52" spans="1:14" x14ac:dyDescent="0.25">
      <c r="A52" s="277"/>
      <c r="B52" s="442" t="s">
        <v>904</v>
      </c>
      <c r="C52" s="443"/>
      <c r="D52" s="443"/>
      <c r="E52" s="444"/>
      <c r="F52" s="19"/>
      <c r="G52" s="19"/>
      <c r="H52" s="19"/>
      <c r="I52" s="26"/>
      <c r="J52" s="26"/>
      <c r="K52" s="26"/>
      <c r="L52" s="26"/>
      <c r="M52" s="26"/>
      <c r="N52" s="26"/>
    </row>
    <row r="53" spans="1:14" x14ac:dyDescent="0.25">
      <c r="A53" s="278"/>
      <c r="B53" s="75"/>
      <c r="C53" s="28"/>
      <c r="D53" s="28"/>
      <c r="E53" s="28"/>
      <c r="F53" s="19"/>
      <c r="G53" s="19"/>
      <c r="H53" s="19"/>
      <c r="I53" s="19"/>
      <c r="J53" s="26"/>
      <c r="K53" s="26"/>
      <c r="L53" s="26"/>
      <c r="M53" s="26"/>
      <c r="N53" s="26"/>
    </row>
    <row r="54" spans="1:14" x14ac:dyDescent="0.25">
      <c r="A54" s="276">
        <v>10</v>
      </c>
      <c r="B54" s="340" t="s">
        <v>41</v>
      </c>
      <c r="C54" s="333"/>
      <c r="D54" s="333"/>
      <c r="E54" s="333"/>
      <c r="F54" s="19"/>
      <c r="G54" s="19"/>
      <c r="H54" s="19"/>
      <c r="I54" s="26"/>
      <c r="J54" s="26"/>
      <c r="K54" s="26"/>
      <c r="L54" s="26"/>
      <c r="M54" s="26"/>
      <c r="N54" s="26"/>
    </row>
    <row r="55" spans="1:14" ht="39" customHeight="1" x14ac:dyDescent="0.25">
      <c r="A55" s="34"/>
      <c r="B55" s="357" t="s">
        <v>50</v>
      </c>
      <c r="C55" s="394" t="s">
        <v>905</v>
      </c>
      <c r="D55" s="395"/>
      <c r="E55" s="396"/>
      <c r="F55" s="26"/>
      <c r="G55" s="26"/>
      <c r="H55" s="26"/>
      <c r="I55" s="26"/>
      <c r="J55" s="26"/>
      <c r="K55" s="2"/>
      <c r="L55" s="26"/>
      <c r="M55" s="26"/>
      <c r="N55" s="26"/>
    </row>
    <row r="56" spans="1:14" ht="21" customHeight="1" x14ac:dyDescent="0.25">
      <c r="A56" s="34"/>
      <c r="B56" s="358"/>
      <c r="C56" s="397"/>
      <c r="D56" s="398"/>
      <c r="E56" s="399"/>
      <c r="F56" s="26"/>
      <c r="G56" s="26"/>
      <c r="H56" s="26"/>
      <c r="I56" s="26"/>
      <c r="J56" s="26"/>
      <c r="K56" s="2"/>
      <c r="L56" s="26"/>
      <c r="M56" s="26"/>
      <c r="N56" s="26"/>
    </row>
    <row r="57" spans="1:14" x14ac:dyDescent="0.25">
      <c r="A57" s="276"/>
      <c r="B57" s="39" t="s">
        <v>54</v>
      </c>
      <c r="C57" s="344" t="s">
        <v>248</v>
      </c>
      <c r="D57" s="344"/>
      <c r="E57" s="344"/>
      <c r="F57" s="26"/>
      <c r="G57" s="26"/>
      <c r="H57" s="26"/>
      <c r="I57" s="26"/>
      <c r="J57" s="26"/>
      <c r="K57" s="12"/>
      <c r="L57" s="26"/>
      <c r="M57" s="26"/>
      <c r="N57" s="26"/>
    </row>
    <row r="58" spans="1:14" x14ac:dyDescent="0.25">
      <c r="A58" s="34"/>
      <c r="B58" s="39" t="s">
        <v>55</v>
      </c>
      <c r="C58" s="438" t="s">
        <v>56</v>
      </c>
      <c r="D58" s="439"/>
      <c r="E58" s="440"/>
      <c r="F58" s="26"/>
      <c r="G58" s="26"/>
      <c r="H58" s="26"/>
      <c r="I58" s="26"/>
      <c r="J58" s="26"/>
      <c r="K58" s="40"/>
      <c r="L58" s="26"/>
      <c r="M58" s="26"/>
      <c r="N58" s="26"/>
    </row>
    <row r="59" spans="1:14" x14ac:dyDescent="0.25">
      <c r="A59" s="34"/>
      <c r="B59" s="442" t="s">
        <v>904</v>
      </c>
      <c r="C59" s="443"/>
      <c r="D59" s="443"/>
      <c r="E59" s="444"/>
      <c r="F59" s="26"/>
      <c r="G59" s="26"/>
      <c r="H59" s="26"/>
      <c r="I59" s="26"/>
      <c r="J59" s="26"/>
      <c r="K59" s="40"/>
      <c r="L59" s="26"/>
      <c r="M59" s="26"/>
      <c r="N59" s="26"/>
    </row>
    <row r="60" spans="1:14" x14ac:dyDescent="0.25">
      <c r="A60" s="279" t="s">
        <v>57</v>
      </c>
      <c r="B60" s="384" t="s">
        <v>58</v>
      </c>
      <c r="C60" s="384"/>
      <c r="D60" s="384"/>
      <c r="E60" s="384"/>
      <c r="F60" s="239"/>
      <c r="G60" s="239"/>
      <c r="H60" s="239"/>
      <c r="I60" s="239"/>
      <c r="J60" s="239"/>
      <c r="K60" s="239"/>
      <c r="L60" s="239"/>
      <c r="M60" s="239"/>
      <c r="N60" s="239"/>
    </row>
    <row r="61" spans="1:14" x14ac:dyDescent="0.25">
      <c r="A61" s="280"/>
      <c r="B61" s="281"/>
      <c r="C61" s="282"/>
      <c r="D61" s="282"/>
      <c r="E61" s="282"/>
      <c r="F61" s="282"/>
      <c r="G61" s="12"/>
      <c r="H61" s="12"/>
      <c r="I61" s="12"/>
      <c r="J61" s="12"/>
      <c r="K61" s="12"/>
      <c r="L61" s="12"/>
      <c r="M61" s="26"/>
      <c r="N61" s="26"/>
    </row>
    <row r="62" spans="1:14" x14ac:dyDescent="0.25">
      <c r="A62" s="13">
        <v>11</v>
      </c>
      <c r="B62" s="5" t="s">
        <v>59</v>
      </c>
      <c r="C62" s="349" t="s">
        <v>60</v>
      </c>
      <c r="D62" s="349"/>
      <c r="E62" s="349"/>
      <c r="F62" s="15"/>
      <c r="G62" s="15"/>
      <c r="H62" s="51"/>
      <c r="I62" s="15"/>
      <c r="J62" s="15"/>
      <c r="K62" s="26"/>
      <c r="L62" s="12"/>
      <c r="M62" s="26"/>
      <c r="N62" s="26"/>
    </row>
    <row r="63" spans="1:14" x14ac:dyDescent="0.25">
      <c r="A63" s="13"/>
      <c r="B63" s="19"/>
      <c r="C63" s="19"/>
      <c r="D63" s="19"/>
      <c r="E63" s="19"/>
      <c r="F63" s="19"/>
      <c r="G63" s="19"/>
      <c r="H63" s="52"/>
      <c r="I63" s="52"/>
      <c r="J63" s="19"/>
      <c r="K63" s="26"/>
      <c r="L63" s="26"/>
      <c r="M63" s="26"/>
      <c r="N63" s="26"/>
    </row>
    <row r="64" spans="1:14" x14ac:dyDescent="0.25">
      <c r="A64" s="13">
        <v>12</v>
      </c>
      <c r="B64" s="15" t="s">
        <v>61</v>
      </c>
      <c r="C64" s="15"/>
      <c r="D64" s="15"/>
      <c r="E64" s="51"/>
      <c r="F64" s="51"/>
      <c r="G64" s="15"/>
      <c r="H64" s="15"/>
      <c r="I64" s="15"/>
      <c r="J64" s="15"/>
      <c r="K64" s="15"/>
      <c r="L64" s="15"/>
      <c r="M64" s="15"/>
      <c r="N64" s="15"/>
    </row>
    <row r="65" spans="1:14" x14ac:dyDescent="0.25">
      <c r="A65" s="13"/>
      <c r="B65" s="15"/>
      <c r="C65" s="15"/>
      <c r="D65" s="15"/>
      <c r="E65" s="51"/>
      <c r="F65" s="51"/>
      <c r="G65" s="51"/>
      <c r="H65" s="15"/>
      <c r="I65" s="15"/>
      <c r="J65" s="15"/>
      <c r="K65" s="15"/>
      <c r="L65" s="15"/>
      <c r="M65" s="15"/>
      <c r="N65" s="15"/>
    </row>
    <row r="66" spans="1:14" x14ac:dyDescent="0.25">
      <c r="A66" s="13"/>
      <c r="B66" s="258" t="s">
        <v>62</v>
      </c>
      <c r="C66" s="263" t="s">
        <v>906</v>
      </c>
      <c r="D66" s="19"/>
      <c r="E66" s="19"/>
      <c r="F66" s="52"/>
      <c r="G66" s="52"/>
      <c r="H66" s="19"/>
      <c r="I66" s="19"/>
      <c r="J66" s="19"/>
      <c r="K66" s="19"/>
      <c r="L66" s="19"/>
      <c r="M66" s="19"/>
      <c r="N66" s="19"/>
    </row>
    <row r="67" spans="1:14" x14ac:dyDescent="0.25">
      <c r="A67" s="13"/>
      <c r="B67" s="19"/>
      <c r="C67" s="19"/>
      <c r="D67" s="19"/>
      <c r="E67" s="19"/>
      <c r="F67" s="19"/>
      <c r="G67" s="19"/>
      <c r="H67" s="19"/>
      <c r="I67" s="19"/>
      <c r="J67" s="19"/>
      <c r="K67" s="19"/>
      <c r="L67" s="19"/>
      <c r="M67" s="19"/>
      <c r="N67" s="19"/>
    </row>
    <row r="68" spans="1:14" x14ac:dyDescent="0.25">
      <c r="A68" s="13"/>
      <c r="B68" s="333" t="s">
        <v>64</v>
      </c>
      <c r="C68" s="372" t="s">
        <v>907</v>
      </c>
      <c r="D68" s="372" t="s">
        <v>333</v>
      </c>
      <c r="E68" s="336" t="s">
        <v>294</v>
      </c>
      <c r="F68" s="327" t="s">
        <v>936</v>
      </c>
      <c r="G68" s="328"/>
      <c r="H68" s="329"/>
      <c r="I68" s="330" t="s">
        <v>69</v>
      </c>
      <c r="J68" s="330"/>
      <c r="K68" s="330"/>
      <c r="L68" s="330" t="s">
        <v>70</v>
      </c>
      <c r="M68" s="330"/>
      <c r="N68" s="330"/>
    </row>
    <row r="69" spans="1:14" ht="38.25" x14ac:dyDescent="0.25">
      <c r="A69" s="4"/>
      <c r="B69" s="333"/>
      <c r="C69" s="335"/>
      <c r="D69" s="335"/>
      <c r="E69" s="337"/>
      <c r="F69" s="258" t="s">
        <v>71</v>
      </c>
      <c r="G69" s="258" t="s">
        <v>72</v>
      </c>
      <c r="H69" s="258" t="s">
        <v>73</v>
      </c>
      <c r="I69" s="258" t="s">
        <v>74</v>
      </c>
      <c r="J69" s="258" t="s">
        <v>72</v>
      </c>
      <c r="K69" s="258" t="s">
        <v>73</v>
      </c>
      <c r="L69" s="258" t="s">
        <v>74</v>
      </c>
      <c r="M69" s="258" t="s">
        <v>72</v>
      </c>
      <c r="N69" s="258" t="s">
        <v>73</v>
      </c>
    </row>
    <row r="70" spans="1:14" x14ac:dyDescent="0.25">
      <c r="A70" s="4"/>
      <c r="B70" s="258" t="s">
        <v>75</v>
      </c>
      <c r="C70" s="131">
        <v>16.22</v>
      </c>
      <c r="D70" s="53">
        <v>16</v>
      </c>
      <c r="E70" s="53">
        <v>22</v>
      </c>
      <c r="F70" s="53">
        <v>61.95</v>
      </c>
      <c r="G70" s="53">
        <v>74.5</v>
      </c>
      <c r="H70" s="53">
        <v>15.25</v>
      </c>
      <c r="I70" s="53" t="s">
        <v>48</v>
      </c>
      <c r="J70" s="53" t="s">
        <v>48</v>
      </c>
      <c r="K70" s="53" t="s">
        <v>48</v>
      </c>
      <c r="L70" s="53" t="s">
        <v>48</v>
      </c>
      <c r="M70" s="53" t="s">
        <v>48</v>
      </c>
      <c r="N70" s="53" t="s">
        <v>48</v>
      </c>
    </row>
    <row r="71" spans="1:14" x14ac:dyDescent="0.25">
      <c r="A71" s="4"/>
      <c r="B71" s="258" t="s">
        <v>278</v>
      </c>
      <c r="C71" s="131">
        <v>38310.49</v>
      </c>
      <c r="D71" s="131">
        <v>38854.550000000003</v>
      </c>
      <c r="E71" s="53">
        <v>40593.800000000003</v>
      </c>
      <c r="F71" s="53">
        <v>49509.15</v>
      </c>
      <c r="G71" s="53">
        <v>52516.76</v>
      </c>
      <c r="H71" s="53">
        <v>27500.79</v>
      </c>
      <c r="I71" s="53" t="s">
        <v>48</v>
      </c>
      <c r="J71" s="53" t="s">
        <v>48</v>
      </c>
      <c r="K71" s="53" t="s">
        <v>48</v>
      </c>
      <c r="L71" s="53" t="s">
        <v>48</v>
      </c>
      <c r="M71" s="53" t="s">
        <v>48</v>
      </c>
      <c r="N71" s="53" t="s">
        <v>48</v>
      </c>
    </row>
    <row r="72" spans="1:14" x14ac:dyDescent="0.25">
      <c r="A72" s="4"/>
      <c r="B72" s="383" t="s">
        <v>21</v>
      </c>
      <c r="C72" s="434"/>
      <c r="D72" s="434"/>
      <c r="E72" s="383"/>
      <c r="F72" s="383"/>
      <c r="G72" s="383"/>
      <c r="H72" s="383"/>
      <c r="I72" s="383"/>
      <c r="J72" s="383"/>
      <c r="K72" s="383"/>
      <c r="L72" s="383"/>
      <c r="M72" s="383"/>
      <c r="N72" s="383"/>
    </row>
    <row r="73" spans="1:14" x14ac:dyDescent="0.25">
      <c r="A73" s="4"/>
      <c r="B73" s="382" t="s">
        <v>79</v>
      </c>
      <c r="C73" s="382"/>
      <c r="D73" s="382"/>
      <c r="E73" s="382"/>
      <c r="F73" s="382"/>
      <c r="G73" s="382"/>
      <c r="H73" s="382"/>
      <c r="I73" s="382"/>
      <c r="J73" s="382"/>
      <c r="K73" s="382"/>
      <c r="L73" s="382"/>
      <c r="M73" s="382"/>
      <c r="N73" s="382"/>
    </row>
    <row r="74" spans="1:14" x14ac:dyDescent="0.25">
      <c r="A74" s="57"/>
      <c r="B74" s="382" t="s">
        <v>80</v>
      </c>
      <c r="C74" s="382"/>
      <c r="D74" s="382"/>
      <c r="E74" s="382"/>
      <c r="F74" s="382"/>
      <c r="G74" s="382"/>
      <c r="H74" s="382"/>
      <c r="I74" s="382"/>
      <c r="J74" s="382"/>
      <c r="K74" s="382"/>
      <c r="L74" s="382"/>
      <c r="M74" s="382"/>
      <c r="N74" s="382"/>
    </row>
    <row r="75" spans="1:14" x14ac:dyDescent="0.25">
      <c r="A75" s="4"/>
      <c r="B75" s="382" t="s">
        <v>420</v>
      </c>
      <c r="C75" s="382"/>
      <c r="D75" s="382"/>
      <c r="E75" s="382"/>
      <c r="F75" s="382"/>
      <c r="G75" s="382"/>
      <c r="H75" s="382"/>
      <c r="I75" s="382"/>
      <c r="J75" s="382"/>
      <c r="K75" s="382"/>
      <c r="L75" s="382"/>
      <c r="M75" s="382"/>
      <c r="N75" s="382"/>
    </row>
    <row r="76" spans="1:14" x14ac:dyDescent="0.25">
      <c r="A76" s="4"/>
      <c r="B76" s="382" t="s">
        <v>82</v>
      </c>
      <c r="C76" s="382"/>
      <c r="D76" s="382"/>
      <c r="E76" s="382"/>
      <c r="F76" s="382"/>
      <c r="G76" s="382"/>
      <c r="H76" s="382"/>
      <c r="I76" s="382"/>
      <c r="J76" s="382"/>
      <c r="K76" s="382"/>
      <c r="L76" s="382"/>
      <c r="M76" s="382"/>
      <c r="N76" s="382"/>
    </row>
    <row r="77" spans="1:14" x14ac:dyDescent="0.25">
      <c r="A77" s="4"/>
      <c r="B77" s="58"/>
      <c r="C77" s="58"/>
      <c r="D77" s="58"/>
      <c r="E77" s="58"/>
      <c r="F77" s="58"/>
      <c r="G77" s="17"/>
      <c r="H77" s="17"/>
      <c r="I77" s="17"/>
      <c r="J77" s="17"/>
      <c r="K77" s="17"/>
      <c r="L77" s="17"/>
      <c r="M77" s="17"/>
      <c r="N77" s="17"/>
    </row>
    <row r="78" spans="1:14" x14ac:dyDescent="0.25">
      <c r="A78" s="13">
        <v>13</v>
      </c>
      <c r="B78" s="338" t="s">
        <v>83</v>
      </c>
      <c r="C78" s="339"/>
      <c r="D78" s="339"/>
      <c r="E78" s="339"/>
      <c r="F78" s="339"/>
      <c r="G78" s="340"/>
      <c r="H78" s="15"/>
      <c r="I78" s="15"/>
      <c r="J78" s="15"/>
      <c r="K78" s="15"/>
      <c r="L78" s="15"/>
      <c r="M78" s="15"/>
      <c r="N78" s="15"/>
    </row>
    <row r="79" spans="1:14" x14ac:dyDescent="0.25">
      <c r="A79" s="13"/>
      <c r="B79" s="26"/>
      <c r="C79" s="19"/>
      <c r="D79" s="19"/>
      <c r="E79" s="19"/>
      <c r="F79" s="19"/>
      <c r="G79" s="19"/>
      <c r="H79" s="19"/>
      <c r="I79" s="19"/>
      <c r="J79" s="19"/>
      <c r="K79" s="19"/>
      <c r="L79" s="19"/>
      <c r="M79" s="19"/>
      <c r="N79" s="19"/>
    </row>
    <row r="80" spans="1:14" ht="204" x14ac:dyDescent="0.25">
      <c r="A80" s="4"/>
      <c r="B80" s="264" t="s">
        <v>84</v>
      </c>
      <c r="C80" s="266" t="s">
        <v>85</v>
      </c>
      <c r="D80" s="266" t="s">
        <v>86</v>
      </c>
      <c r="E80" s="266" t="s">
        <v>280</v>
      </c>
      <c r="F80" s="266" t="s">
        <v>88</v>
      </c>
      <c r="G80" s="266" t="s">
        <v>169</v>
      </c>
      <c r="H80" s="17"/>
      <c r="I80" s="17"/>
      <c r="J80" s="17"/>
      <c r="K80" s="17"/>
      <c r="L80" s="17"/>
      <c r="M80" s="17"/>
      <c r="N80" s="17"/>
    </row>
    <row r="81" spans="1:14" ht="26.45" customHeight="1" x14ac:dyDescent="0.25">
      <c r="A81" s="4"/>
      <c r="B81" s="316" t="s">
        <v>90</v>
      </c>
      <c r="C81" s="5" t="s">
        <v>908</v>
      </c>
      <c r="D81" s="91">
        <v>0.28000000000000003</v>
      </c>
      <c r="E81" s="91">
        <v>4.0199999999999996</v>
      </c>
      <c r="F81" s="412" t="s">
        <v>388</v>
      </c>
      <c r="G81" s="412" t="s">
        <v>282</v>
      </c>
      <c r="H81" s="62"/>
      <c r="I81" s="62"/>
      <c r="J81" s="62"/>
      <c r="K81" s="62"/>
      <c r="L81" s="62"/>
      <c r="M81" s="62"/>
      <c r="N81" s="62"/>
    </row>
    <row r="82" spans="1:14" x14ac:dyDescent="0.25">
      <c r="A82" s="4"/>
      <c r="B82" s="316"/>
      <c r="C82" s="5" t="s">
        <v>827</v>
      </c>
      <c r="D82" s="262"/>
      <c r="E82" s="262"/>
      <c r="F82" s="413"/>
      <c r="G82" s="413"/>
      <c r="H82" s="62"/>
      <c r="I82" s="62"/>
      <c r="J82" s="62"/>
      <c r="K82" s="62"/>
      <c r="L82" s="62"/>
      <c r="M82" s="62"/>
      <c r="N82" s="62"/>
    </row>
    <row r="83" spans="1:14" x14ac:dyDescent="0.25">
      <c r="A83" s="4"/>
      <c r="B83" s="316"/>
      <c r="C83" s="25" t="s">
        <v>909</v>
      </c>
      <c r="D83" s="262">
        <v>18.489999999999998</v>
      </c>
      <c r="E83" s="262">
        <v>8.7100000000000009</v>
      </c>
      <c r="F83" s="413"/>
      <c r="G83" s="413"/>
      <c r="H83" s="62"/>
      <c r="I83" s="62"/>
      <c r="J83" s="62"/>
      <c r="K83" s="62"/>
      <c r="L83" s="62"/>
      <c r="M83" s="62"/>
      <c r="N83" s="62"/>
    </row>
    <row r="84" spans="1:14" x14ac:dyDescent="0.25">
      <c r="A84" s="4"/>
      <c r="B84" s="316"/>
      <c r="C84" s="25" t="s">
        <v>910</v>
      </c>
      <c r="D84" s="262">
        <v>1.7</v>
      </c>
      <c r="E84" s="262">
        <v>-18.600000000000001</v>
      </c>
      <c r="F84" s="413"/>
      <c r="G84" s="413"/>
      <c r="H84" s="62"/>
      <c r="I84" s="62"/>
      <c r="J84" s="62"/>
      <c r="K84" s="62"/>
      <c r="L84" s="62"/>
      <c r="M84" s="62"/>
      <c r="N84" s="62"/>
    </row>
    <row r="85" spans="1:14" x14ac:dyDescent="0.25">
      <c r="A85" s="4"/>
      <c r="B85" s="316"/>
      <c r="C85" s="25" t="s">
        <v>911</v>
      </c>
      <c r="D85" s="262">
        <v>1.28</v>
      </c>
      <c r="E85" s="262">
        <v>0.01</v>
      </c>
      <c r="F85" s="413"/>
      <c r="G85" s="413"/>
      <c r="H85" s="62"/>
      <c r="I85" s="62"/>
      <c r="J85" s="62"/>
      <c r="K85" s="62"/>
      <c r="L85" s="62"/>
      <c r="M85" s="62"/>
      <c r="N85" s="62"/>
    </row>
    <row r="86" spans="1:14" x14ac:dyDescent="0.25">
      <c r="A86" s="4"/>
      <c r="B86" s="316"/>
      <c r="C86" s="25" t="s">
        <v>912</v>
      </c>
      <c r="D86" s="262">
        <v>10.47</v>
      </c>
      <c r="E86" s="262">
        <v>-0.73</v>
      </c>
      <c r="F86" s="413"/>
      <c r="G86" s="413"/>
      <c r="H86" s="62"/>
      <c r="I86" s="62"/>
      <c r="J86" s="62"/>
      <c r="K86" s="62"/>
      <c r="L86" s="62"/>
      <c r="M86" s="62"/>
      <c r="N86" s="62"/>
    </row>
    <row r="87" spans="1:14" x14ac:dyDescent="0.25">
      <c r="A87" s="4"/>
      <c r="B87" s="316"/>
      <c r="C87" s="25" t="s">
        <v>913</v>
      </c>
      <c r="D87" s="262">
        <v>3.04</v>
      </c>
      <c r="E87" s="262">
        <v>-0.2</v>
      </c>
      <c r="F87" s="413"/>
      <c r="G87" s="413"/>
      <c r="H87" s="62"/>
      <c r="I87" s="62"/>
      <c r="J87" s="62"/>
      <c r="K87" s="62"/>
      <c r="L87" s="62"/>
      <c r="M87" s="62"/>
      <c r="N87" s="62"/>
    </row>
    <row r="88" spans="1:14" x14ac:dyDescent="0.25">
      <c r="A88" s="4"/>
      <c r="B88" s="316"/>
      <c r="C88" s="5" t="s">
        <v>93</v>
      </c>
      <c r="D88" s="164">
        <f>SUM(D83:D87)/5</f>
        <v>6.9959999999999996</v>
      </c>
      <c r="E88" s="164">
        <f>SUM(E83:E87)/5</f>
        <v>-2.1619999999999999</v>
      </c>
      <c r="F88" s="413"/>
      <c r="G88" s="413"/>
      <c r="H88" s="62"/>
      <c r="I88" s="62"/>
      <c r="J88" s="62"/>
      <c r="K88" s="62"/>
      <c r="L88" s="62"/>
      <c r="M88" s="62"/>
      <c r="N88" s="62"/>
    </row>
    <row r="89" spans="1:14" ht="25.5" x14ac:dyDescent="0.25">
      <c r="A89" s="4"/>
      <c r="B89" s="316" t="s">
        <v>94</v>
      </c>
      <c r="C89" s="5" t="s">
        <v>908</v>
      </c>
      <c r="D89" s="93">
        <v>53.57</v>
      </c>
      <c r="E89" s="93">
        <f>F70/E81</f>
        <v>15.410447761194032</v>
      </c>
      <c r="F89" s="413"/>
      <c r="G89" s="413"/>
      <c r="H89" s="62"/>
      <c r="I89" s="62"/>
      <c r="J89" s="62"/>
      <c r="K89" s="62"/>
      <c r="L89" s="62"/>
      <c r="M89" s="62"/>
      <c r="N89" s="62"/>
    </row>
    <row r="90" spans="1:14" x14ac:dyDescent="0.25">
      <c r="A90" s="4"/>
      <c r="B90" s="316"/>
      <c r="C90" s="5" t="s">
        <v>92</v>
      </c>
      <c r="D90" s="262"/>
      <c r="E90" s="262"/>
      <c r="F90" s="413"/>
      <c r="G90" s="413"/>
      <c r="H90" s="62"/>
      <c r="I90" s="62"/>
      <c r="J90" s="62"/>
      <c r="K90" s="62"/>
      <c r="L90" s="62"/>
      <c r="M90" s="62"/>
      <c r="N90" s="62"/>
    </row>
    <row r="91" spans="1:14" x14ac:dyDescent="0.25">
      <c r="A91" s="4"/>
      <c r="B91" s="316"/>
      <c r="C91" s="25" t="s">
        <v>909</v>
      </c>
      <c r="D91" s="262">
        <v>4.2300000000000004</v>
      </c>
      <c r="E91" s="262">
        <f>117.65/E83</f>
        <v>13.507462686567164</v>
      </c>
      <c r="F91" s="413"/>
      <c r="G91" s="413"/>
      <c r="H91" s="62"/>
      <c r="I91" s="62"/>
      <c r="J91" s="62"/>
      <c r="K91" s="62"/>
      <c r="L91" s="62"/>
      <c r="M91" s="62"/>
      <c r="N91" s="62"/>
    </row>
    <row r="92" spans="1:14" x14ac:dyDescent="0.25">
      <c r="A92" s="4"/>
      <c r="B92" s="316"/>
      <c r="C92" s="25" t="s">
        <v>910</v>
      </c>
      <c r="D92" s="262">
        <v>9.5</v>
      </c>
      <c r="E92" s="297">
        <v>0</v>
      </c>
      <c r="F92" s="413"/>
      <c r="G92" s="413"/>
      <c r="H92" s="62"/>
      <c r="I92" s="62"/>
      <c r="J92" s="62"/>
      <c r="K92" s="62"/>
      <c r="L92" s="62"/>
      <c r="M92" s="62"/>
      <c r="N92" s="62"/>
    </row>
    <row r="93" spans="1:14" x14ac:dyDescent="0.25">
      <c r="A93" s="4"/>
      <c r="B93" s="316"/>
      <c r="C93" s="25" t="s">
        <v>911</v>
      </c>
      <c r="D93" s="262">
        <v>21.02</v>
      </c>
      <c r="E93" s="299">
        <f>32/E85</f>
        <v>3200</v>
      </c>
      <c r="F93" s="413"/>
      <c r="G93" s="413"/>
      <c r="H93" s="62"/>
      <c r="I93" s="62"/>
      <c r="J93" s="62"/>
      <c r="K93" s="62"/>
      <c r="L93" s="62"/>
      <c r="M93" s="62"/>
      <c r="N93" s="62"/>
    </row>
    <row r="94" spans="1:14" x14ac:dyDescent="0.25">
      <c r="A94" s="4"/>
      <c r="B94" s="316"/>
      <c r="C94" s="25" t="s">
        <v>912</v>
      </c>
      <c r="D94" s="262">
        <v>13.05</v>
      </c>
      <c r="E94" s="297">
        <v>0</v>
      </c>
      <c r="F94" s="413"/>
      <c r="G94" s="413"/>
      <c r="H94" s="62"/>
      <c r="I94" s="62"/>
      <c r="J94" s="62"/>
      <c r="K94" s="62"/>
      <c r="L94" s="62"/>
      <c r="M94" s="62"/>
      <c r="N94" s="62"/>
    </row>
    <row r="95" spans="1:14" x14ac:dyDescent="0.25">
      <c r="A95" s="4"/>
      <c r="B95" s="316"/>
      <c r="C95" s="25" t="s">
        <v>913</v>
      </c>
      <c r="D95" s="262">
        <v>13.91</v>
      </c>
      <c r="E95" s="297">
        <v>0</v>
      </c>
      <c r="F95" s="413"/>
      <c r="G95" s="413"/>
      <c r="H95" s="62"/>
      <c r="I95" s="62"/>
      <c r="J95" s="62"/>
      <c r="K95" s="62"/>
      <c r="L95" s="62"/>
      <c r="M95" s="62"/>
      <c r="N95" s="62"/>
    </row>
    <row r="96" spans="1:14" x14ac:dyDescent="0.25">
      <c r="A96" s="4"/>
      <c r="B96" s="316"/>
      <c r="C96" s="5" t="s">
        <v>93</v>
      </c>
      <c r="D96" s="164">
        <f>SUM(D91:D95)/5</f>
        <v>12.341999999999999</v>
      </c>
      <c r="E96" s="164">
        <f>SUM(E91:E95)/5</f>
        <v>642.70149253731347</v>
      </c>
      <c r="F96" s="413"/>
      <c r="G96" s="413"/>
      <c r="H96" s="62"/>
      <c r="I96" s="62"/>
      <c r="J96" s="62"/>
      <c r="K96" s="62"/>
      <c r="L96" s="62"/>
      <c r="M96" s="62"/>
      <c r="N96" s="62"/>
    </row>
    <row r="97" spans="1:14" ht="25.5" x14ac:dyDescent="0.25">
      <c r="A97" s="4"/>
      <c r="B97" s="316" t="s">
        <v>95</v>
      </c>
      <c r="C97" s="5" t="s">
        <v>908</v>
      </c>
      <c r="D97" s="114">
        <v>2.3099999999999999E-2</v>
      </c>
      <c r="E97" s="114">
        <f>C31/2706.07*100</f>
        <v>22.903324747696843</v>
      </c>
      <c r="F97" s="413"/>
      <c r="G97" s="413"/>
      <c r="H97" s="62"/>
      <c r="I97" s="62"/>
      <c r="J97" s="62"/>
      <c r="K97" s="62"/>
      <c r="L97" s="62"/>
      <c r="M97" s="62"/>
      <c r="N97" s="62"/>
    </row>
    <row r="98" spans="1:14" x14ac:dyDescent="0.25">
      <c r="A98" s="4"/>
      <c r="B98" s="316"/>
      <c r="C98" s="5" t="s">
        <v>92</v>
      </c>
      <c r="D98" s="262"/>
      <c r="E98" s="262"/>
      <c r="F98" s="413"/>
      <c r="G98" s="413"/>
      <c r="H98" s="62"/>
      <c r="I98" s="62"/>
      <c r="J98" s="62"/>
      <c r="K98" s="62"/>
      <c r="L98" s="62"/>
      <c r="M98" s="62"/>
      <c r="N98" s="62"/>
    </row>
    <row r="99" spans="1:14" x14ac:dyDescent="0.25">
      <c r="A99" s="4"/>
      <c r="B99" s="316"/>
      <c r="C99" s="25" t="s">
        <v>909</v>
      </c>
      <c r="D99" s="262">
        <v>11.85</v>
      </c>
      <c r="E99" s="298">
        <v>4.7E-2</v>
      </c>
      <c r="F99" s="413"/>
      <c r="G99" s="413"/>
      <c r="H99" s="62"/>
      <c r="I99" s="62"/>
      <c r="J99" s="62"/>
      <c r="K99" s="62"/>
      <c r="L99" s="62"/>
      <c r="M99" s="62"/>
      <c r="N99" s="62"/>
    </row>
    <row r="100" spans="1:14" x14ac:dyDescent="0.25">
      <c r="A100" s="4"/>
      <c r="B100" s="316"/>
      <c r="C100" s="25" t="s">
        <v>910</v>
      </c>
      <c r="D100" s="262">
        <v>0.96</v>
      </c>
      <c r="E100" s="298">
        <v>-0.15989999999999999</v>
      </c>
      <c r="F100" s="413"/>
      <c r="G100" s="413"/>
      <c r="H100" s="62"/>
      <c r="I100" s="62"/>
      <c r="J100" s="62"/>
      <c r="K100" s="62"/>
      <c r="L100" s="62"/>
      <c r="M100" s="62"/>
      <c r="N100" s="62"/>
    </row>
    <row r="101" spans="1:14" x14ac:dyDescent="0.25">
      <c r="A101" s="4"/>
      <c r="B101" s="316"/>
      <c r="C101" s="25" t="s">
        <v>911</v>
      </c>
      <c r="D101" s="262">
        <v>4.57</v>
      </c>
      <c r="E101" s="298">
        <v>-5.0000000000000001E-4</v>
      </c>
      <c r="F101" s="413"/>
      <c r="G101" s="413"/>
      <c r="H101" s="62"/>
      <c r="I101" s="62"/>
      <c r="J101" s="62"/>
      <c r="K101" s="62"/>
      <c r="L101" s="62"/>
      <c r="M101" s="62"/>
      <c r="N101" s="62"/>
    </row>
    <row r="102" spans="1:14" x14ac:dyDescent="0.25">
      <c r="A102" s="4"/>
      <c r="B102" s="316"/>
      <c r="C102" s="25" t="s">
        <v>912</v>
      </c>
      <c r="D102" s="262">
        <v>10.07</v>
      </c>
      <c r="E102" s="298">
        <v>4.3E-3</v>
      </c>
      <c r="F102" s="413"/>
      <c r="G102" s="413"/>
      <c r="H102" s="62"/>
      <c r="I102" s="62"/>
      <c r="J102" s="62"/>
      <c r="K102" s="62"/>
      <c r="L102" s="62"/>
      <c r="M102" s="62"/>
      <c r="N102" s="62"/>
    </row>
    <row r="103" spans="1:14" x14ac:dyDescent="0.25">
      <c r="A103" s="4"/>
      <c r="B103" s="316"/>
      <c r="C103" s="25" t="s">
        <v>913</v>
      </c>
      <c r="D103" s="262">
        <v>6.16</v>
      </c>
      <c r="E103" s="298">
        <v>-2.3999999999999998E-3</v>
      </c>
      <c r="F103" s="413"/>
      <c r="G103" s="413"/>
      <c r="H103" s="62"/>
      <c r="I103" s="62"/>
      <c r="J103" s="62"/>
      <c r="K103" s="62"/>
      <c r="L103" s="62"/>
      <c r="M103" s="62"/>
      <c r="N103" s="62"/>
    </row>
    <row r="104" spans="1:14" x14ac:dyDescent="0.25">
      <c r="A104" s="4"/>
      <c r="B104" s="316"/>
      <c r="C104" s="5" t="s">
        <v>93</v>
      </c>
      <c r="D104" s="164">
        <f>SUM(D99:D103)/5</f>
        <v>6.7219999999999995</v>
      </c>
      <c r="E104" s="164">
        <f>SUM(E99:E103)/5</f>
        <v>-2.2299999999999997E-2</v>
      </c>
      <c r="F104" s="413"/>
      <c r="G104" s="413"/>
      <c r="H104" s="62"/>
      <c r="I104" s="62"/>
      <c r="J104" s="62"/>
      <c r="K104" s="62"/>
      <c r="L104" s="62"/>
      <c r="M104" s="62"/>
      <c r="N104" s="62"/>
    </row>
    <row r="105" spans="1:14" ht="25.5" x14ac:dyDescent="0.25">
      <c r="A105" s="4"/>
      <c r="B105" s="316" t="s">
        <v>96</v>
      </c>
      <c r="C105" s="5" t="s">
        <v>908</v>
      </c>
      <c r="D105" s="91">
        <v>12.07</v>
      </c>
      <c r="E105" s="93">
        <f>2706.07/173.416</f>
        <v>15.604500161461457</v>
      </c>
      <c r="F105" s="413"/>
      <c r="G105" s="413"/>
      <c r="H105" s="62"/>
      <c r="I105" s="62"/>
      <c r="J105" s="62"/>
      <c r="K105" s="62"/>
      <c r="L105" s="62"/>
      <c r="M105" s="62"/>
      <c r="N105" s="62"/>
    </row>
    <row r="106" spans="1:14" x14ac:dyDescent="0.25">
      <c r="A106" s="4"/>
      <c r="B106" s="316"/>
      <c r="C106" s="5" t="s">
        <v>92</v>
      </c>
      <c r="D106" s="262"/>
      <c r="E106" s="262"/>
      <c r="F106" s="413"/>
      <c r="G106" s="413"/>
      <c r="H106" s="62"/>
      <c r="I106" s="62">
        <f>1734.16/10</f>
        <v>173.416</v>
      </c>
      <c r="J106" s="62"/>
      <c r="K106" s="62"/>
      <c r="L106" s="62"/>
      <c r="M106" s="62"/>
      <c r="N106" s="62"/>
    </row>
    <row r="107" spans="1:14" x14ac:dyDescent="0.25">
      <c r="A107" s="4"/>
      <c r="B107" s="386"/>
      <c r="C107" s="25" t="s">
        <v>909</v>
      </c>
      <c r="D107" s="262">
        <v>157.32</v>
      </c>
      <c r="E107" s="262">
        <v>188.71</v>
      </c>
      <c r="F107" s="413"/>
      <c r="G107" s="413"/>
      <c r="H107" s="62"/>
      <c r="I107" s="62"/>
      <c r="J107" s="62"/>
      <c r="K107" s="62"/>
      <c r="L107" s="62"/>
      <c r="M107" s="62"/>
      <c r="N107" s="62"/>
    </row>
    <row r="108" spans="1:14" x14ac:dyDescent="0.25">
      <c r="A108" s="4"/>
      <c r="B108" s="386"/>
      <c r="C108" s="25" t="s">
        <v>910</v>
      </c>
      <c r="D108" s="262">
        <v>177.28</v>
      </c>
      <c r="E108" s="262">
        <v>116.23</v>
      </c>
      <c r="F108" s="413"/>
      <c r="G108" s="413"/>
      <c r="H108" s="62"/>
      <c r="I108" s="62"/>
      <c r="J108" s="62"/>
      <c r="K108" s="62"/>
      <c r="L108" s="62"/>
      <c r="M108" s="62"/>
      <c r="N108" s="62"/>
    </row>
    <row r="109" spans="1:14" x14ac:dyDescent="0.25">
      <c r="A109" s="4"/>
      <c r="B109" s="386"/>
      <c r="C109" s="25" t="s">
        <v>911</v>
      </c>
      <c r="D109" s="262">
        <v>2.37</v>
      </c>
      <c r="E109" s="262">
        <v>18.03</v>
      </c>
      <c r="F109" s="413"/>
      <c r="G109" s="413"/>
      <c r="H109" s="62"/>
      <c r="I109" s="62"/>
      <c r="J109" s="62"/>
      <c r="K109" s="62"/>
      <c r="L109" s="62"/>
      <c r="M109" s="62"/>
      <c r="N109" s="62"/>
    </row>
    <row r="110" spans="1:14" x14ac:dyDescent="0.25">
      <c r="A110" s="4"/>
      <c r="B110" s="386"/>
      <c r="C110" s="25" t="s">
        <v>912</v>
      </c>
      <c r="D110" s="262">
        <v>104.03</v>
      </c>
      <c r="E110" s="262">
        <v>117.64</v>
      </c>
      <c r="F110" s="413"/>
      <c r="G110" s="413"/>
      <c r="H110" s="62"/>
      <c r="I110" s="62"/>
      <c r="J110" s="62"/>
      <c r="K110" s="62"/>
      <c r="L110" s="62"/>
      <c r="M110" s="62"/>
      <c r="N110" s="62"/>
    </row>
    <row r="111" spans="1:14" x14ac:dyDescent="0.25">
      <c r="A111" s="4"/>
      <c r="B111" s="386"/>
      <c r="C111" s="25" t="s">
        <v>913</v>
      </c>
      <c r="D111" s="262">
        <v>78.28</v>
      </c>
      <c r="E111" s="262">
        <v>80.5</v>
      </c>
      <c r="F111" s="413"/>
      <c r="G111" s="413"/>
      <c r="H111" s="62"/>
      <c r="I111" s="62"/>
      <c r="J111" s="62"/>
      <c r="K111" s="62"/>
      <c r="L111" s="62"/>
      <c r="M111" s="62"/>
      <c r="N111" s="62"/>
    </row>
    <row r="112" spans="1:14" x14ac:dyDescent="0.25">
      <c r="A112" s="4"/>
      <c r="B112" s="386"/>
      <c r="C112" s="5" t="s">
        <v>93</v>
      </c>
      <c r="D112" s="164">
        <f>SUM(D107:D111)/5</f>
        <v>103.85599999999999</v>
      </c>
      <c r="E112" s="164">
        <f>SUM(E107:E111)/5</f>
        <v>104.22200000000001</v>
      </c>
      <c r="F112" s="413"/>
      <c r="G112" s="413"/>
      <c r="H112" s="62"/>
      <c r="I112" s="62"/>
      <c r="J112" s="62"/>
      <c r="K112" s="62"/>
      <c r="L112" s="62"/>
      <c r="M112" s="62"/>
      <c r="N112" s="62"/>
    </row>
    <row r="113" spans="1:14" x14ac:dyDescent="0.25">
      <c r="A113" s="57"/>
      <c r="B113" s="387"/>
      <c r="C113" s="388"/>
      <c r="D113" s="388"/>
      <c r="E113" s="388"/>
      <c r="F113" s="388"/>
      <c r="G113" s="389"/>
      <c r="H113" s="57"/>
      <c r="I113" s="57"/>
      <c r="J113" s="57"/>
      <c r="K113" s="57"/>
      <c r="L113" s="57"/>
      <c r="M113" s="57"/>
      <c r="N113" s="57"/>
    </row>
    <row r="114" spans="1:14" x14ac:dyDescent="0.25">
      <c r="A114" s="4"/>
      <c r="B114" s="376" t="s">
        <v>914</v>
      </c>
      <c r="C114" s="377"/>
      <c r="D114" s="377"/>
      <c r="E114" s="377"/>
      <c r="F114" s="377"/>
      <c r="G114" s="378"/>
      <c r="H114" s="62"/>
      <c r="I114" s="62"/>
      <c r="J114" s="62"/>
      <c r="K114" s="62"/>
      <c r="L114" s="62"/>
      <c r="M114" s="62"/>
      <c r="N114" s="62"/>
    </row>
    <row r="115" spans="1:14" x14ac:dyDescent="0.25">
      <c r="A115" s="4"/>
      <c r="B115" s="379" t="s">
        <v>128</v>
      </c>
      <c r="C115" s="380"/>
      <c r="D115" s="380"/>
      <c r="E115" s="380"/>
      <c r="F115" s="380"/>
      <c r="G115" s="381"/>
      <c r="H115" s="62"/>
      <c r="I115" s="62"/>
      <c r="J115" s="62"/>
      <c r="K115" s="62"/>
      <c r="L115" s="62"/>
      <c r="M115" s="62"/>
      <c r="N115" s="62"/>
    </row>
    <row r="116" spans="1:14" x14ac:dyDescent="0.25">
      <c r="A116" s="4"/>
      <c r="B116" s="353"/>
      <c r="C116" s="354"/>
      <c r="D116" s="354"/>
      <c r="E116" s="354"/>
      <c r="F116" s="354"/>
      <c r="G116" s="355"/>
      <c r="H116" s="62"/>
      <c r="I116" s="62"/>
      <c r="J116" s="62"/>
      <c r="K116" s="62"/>
      <c r="L116" s="62"/>
      <c r="M116" s="62"/>
      <c r="N116" s="62"/>
    </row>
    <row r="117" spans="1:14" x14ac:dyDescent="0.25">
      <c r="A117" s="26"/>
      <c r="B117" s="12"/>
      <c r="C117" s="323"/>
      <c r="D117" s="323"/>
      <c r="E117" s="323"/>
      <c r="F117" s="323"/>
      <c r="G117" s="323"/>
      <c r="H117" s="62"/>
      <c r="I117" s="62"/>
      <c r="J117" s="26"/>
      <c r="K117" s="26"/>
      <c r="L117" s="26"/>
      <c r="M117" s="26"/>
      <c r="N117" s="26"/>
    </row>
    <row r="118" spans="1:14" x14ac:dyDescent="0.25">
      <c r="A118" s="13">
        <v>14</v>
      </c>
      <c r="B118" s="70" t="s">
        <v>99</v>
      </c>
      <c r="C118" s="324" t="s">
        <v>48</v>
      </c>
      <c r="D118" s="325"/>
      <c r="E118" s="325"/>
      <c r="F118" s="325"/>
      <c r="G118" s="326"/>
      <c r="H118" s="26"/>
      <c r="I118" s="26"/>
      <c r="J118" s="26"/>
      <c r="K118" s="26"/>
      <c r="L118" s="26"/>
      <c r="M118" s="26"/>
      <c r="N118" s="26"/>
    </row>
    <row r="119" spans="1:14" x14ac:dyDescent="0.25">
      <c r="A119" s="269"/>
      <c r="B119" s="26"/>
      <c r="C119" s="84"/>
      <c r="D119" s="84"/>
      <c r="E119" s="84"/>
      <c r="F119" s="84"/>
      <c r="G119" s="84"/>
      <c r="H119" s="26"/>
      <c r="I119" s="26"/>
      <c r="J119" s="26"/>
      <c r="K119" s="26"/>
      <c r="L119" s="26"/>
      <c r="M119" s="26"/>
      <c r="N119" s="26"/>
    </row>
    <row r="120" spans="1:14" x14ac:dyDescent="0.25">
      <c r="A120" s="26"/>
      <c r="B120" s="26"/>
      <c r="C120" s="84"/>
      <c r="D120" s="84"/>
      <c r="E120" s="84"/>
      <c r="F120" s="84"/>
      <c r="G120" s="84"/>
      <c r="H120" s="26"/>
      <c r="I120" s="26"/>
      <c r="J120" s="26"/>
      <c r="K120" s="26"/>
      <c r="L120" s="26"/>
      <c r="M120" s="26"/>
      <c r="N120" s="26"/>
    </row>
    <row r="121" spans="1:14" x14ac:dyDescent="0.25">
      <c r="A121" s="26"/>
      <c r="B121" s="26"/>
      <c r="C121" s="26"/>
      <c r="D121" s="26"/>
      <c r="E121" s="26"/>
      <c r="F121" s="26"/>
      <c r="G121" s="26"/>
      <c r="H121" s="26"/>
      <c r="I121" s="26"/>
      <c r="J121" s="26"/>
      <c r="K121" s="26"/>
      <c r="L121" s="26"/>
      <c r="M121" s="26"/>
      <c r="N121" s="26"/>
    </row>
    <row r="122" spans="1:14" x14ac:dyDescent="0.25">
      <c r="A122" s="26"/>
      <c r="B122" s="374" t="s">
        <v>915</v>
      </c>
      <c r="C122" s="375"/>
      <c r="D122" s="375"/>
      <c r="E122" s="375"/>
      <c r="F122" s="375"/>
      <c r="G122" s="375"/>
      <c r="H122" s="375"/>
      <c r="I122" s="26"/>
      <c r="J122" s="26"/>
      <c r="K122" s="26"/>
      <c r="L122" s="26"/>
      <c r="M122" s="26"/>
      <c r="N122" s="26"/>
    </row>
  </sheetData>
  <sheetProtection password="DB00" sheet="1" objects="1" scenarios="1"/>
  <mergeCells count="62">
    <mergeCell ref="C22:E22"/>
    <mergeCell ref="A2:B2"/>
    <mergeCell ref="C6:E6"/>
    <mergeCell ref="B7:D7"/>
    <mergeCell ref="B10:D10"/>
    <mergeCell ref="C12:E12"/>
    <mergeCell ref="B13:D13"/>
    <mergeCell ref="B16:C16"/>
    <mergeCell ref="B18:E18"/>
    <mergeCell ref="C19:E19"/>
    <mergeCell ref="C20:E20"/>
    <mergeCell ref="C21:E21"/>
    <mergeCell ref="C23:E23"/>
    <mergeCell ref="B24:E24"/>
    <mergeCell ref="B27:E27"/>
    <mergeCell ref="B28:E28"/>
    <mergeCell ref="D30:D33"/>
    <mergeCell ref="E30:E33"/>
    <mergeCell ref="B55:B56"/>
    <mergeCell ref="C55:E56"/>
    <mergeCell ref="B34:E34"/>
    <mergeCell ref="B36:E36"/>
    <mergeCell ref="B40:C40"/>
    <mergeCell ref="B43:E43"/>
    <mergeCell ref="C44:E44"/>
    <mergeCell ref="C45:E45"/>
    <mergeCell ref="C46:E46"/>
    <mergeCell ref="B47:E47"/>
    <mergeCell ref="B49:E49"/>
    <mergeCell ref="B52:E52"/>
    <mergeCell ref="B54:E54"/>
    <mergeCell ref="B74:N74"/>
    <mergeCell ref="C57:E57"/>
    <mergeCell ref="C58:E58"/>
    <mergeCell ref="B59:E59"/>
    <mergeCell ref="B60:E60"/>
    <mergeCell ref="C62:E62"/>
    <mergeCell ref="B68:B69"/>
    <mergeCell ref="C68:C69"/>
    <mergeCell ref="D68:D69"/>
    <mergeCell ref="E68:E69"/>
    <mergeCell ref="F68:H68"/>
    <mergeCell ref="I68:K68"/>
    <mergeCell ref="L68:N68"/>
    <mergeCell ref="B72:N72"/>
    <mergeCell ref="B73:N73"/>
    <mergeCell ref="B75:N75"/>
    <mergeCell ref="B76:N76"/>
    <mergeCell ref="B78:G78"/>
    <mergeCell ref="B81:B88"/>
    <mergeCell ref="F81:F112"/>
    <mergeCell ref="G81:G112"/>
    <mergeCell ref="B89:B96"/>
    <mergeCell ref="B97:B104"/>
    <mergeCell ref="B105:B112"/>
    <mergeCell ref="B122:H122"/>
    <mergeCell ref="B113:G113"/>
    <mergeCell ref="B114:G114"/>
    <mergeCell ref="B115:G115"/>
    <mergeCell ref="B116:G116"/>
    <mergeCell ref="C117:G117"/>
    <mergeCell ref="C118:G11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workbookViewId="0">
      <selection activeCell="B15" sqref="B15:C15"/>
    </sheetView>
  </sheetViews>
  <sheetFormatPr defaultColWidth="8.85546875" defaultRowHeight="12.75" x14ac:dyDescent="0.25"/>
  <cols>
    <col min="1" max="1" width="8.85546875" style="26"/>
    <col min="2" max="2" width="40.85546875" style="26" customWidth="1"/>
    <col min="3" max="3" width="29.28515625" style="26" customWidth="1"/>
    <col min="4" max="4" width="17.5703125" style="26" customWidth="1"/>
    <col min="5" max="5" width="22.28515625" style="26" customWidth="1"/>
    <col min="6" max="6" width="11.28515625" style="26" customWidth="1"/>
    <col min="7" max="7" width="12.7109375" style="26" customWidth="1"/>
    <col min="8" max="16384" width="8.85546875" style="26"/>
  </cols>
  <sheetData>
    <row r="1" spans="1:25" x14ac:dyDescent="0.25">
      <c r="A1" s="369" t="s">
        <v>0</v>
      </c>
      <c r="B1" s="369"/>
      <c r="D1" s="2"/>
    </row>
    <row r="3" spans="1:25" ht="16.5" customHeight="1" x14ac:dyDescent="0.25">
      <c r="A3" s="4" t="s">
        <v>1</v>
      </c>
      <c r="B3" s="5" t="s">
        <v>2</v>
      </c>
      <c r="C3" s="446" t="s">
        <v>943</v>
      </c>
      <c r="D3" s="447"/>
      <c r="E3" s="447"/>
      <c r="I3" s="12"/>
      <c r="J3" s="12"/>
      <c r="K3" s="12"/>
      <c r="L3" s="12"/>
      <c r="M3" s="12"/>
      <c r="N3" s="12"/>
      <c r="O3" s="12"/>
      <c r="P3" s="12"/>
      <c r="Q3" s="12"/>
      <c r="R3" s="12"/>
      <c r="S3" s="12"/>
      <c r="T3" s="12"/>
      <c r="U3" s="12"/>
      <c r="V3" s="12"/>
      <c r="W3" s="12"/>
      <c r="X3" s="12"/>
      <c r="Y3" s="12"/>
    </row>
    <row r="4" spans="1:25" x14ac:dyDescent="0.25">
      <c r="D4" s="9"/>
      <c r="F4" s="12"/>
      <c r="G4" s="12"/>
      <c r="H4" s="12"/>
      <c r="I4" s="12"/>
      <c r="J4" s="12"/>
      <c r="K4" s="12"/>
      <c r="L4" s="12"/>
      <c r="M4" s="12"/>
      <c r="N4" s="12"/>
      <c r="O4" s="12"/>
      <c r="P4" s="12"/>
      <c r="Q4" s="12"/>
      <c r="R4" s="12"/>
      <c r="S4" s="12"/>
      <c r="T4" s="12"/>
      <c r="U4" s="12"/>
      <c r="V4" s="12"/>
      <c r="W4" s="12"/>
      <c r="X4" s="12"/>
      <c r="Y4" s="12"/>
    </row>
    <row r="5" spans="1:25" x14ac:dyDescent="0.25">
      <c r="A5" s="10">
        <v>1</v>
      </c>
      <c r="B5" s="11" t="s">
        <v>4</v>
      </c>
      <c r="C5" s="324" t="s">
        <v>759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944</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row>
    <row r="12" spans="1:25" x14ac:dyDescent="0.25">
      <c r="A12" s="13"/>
      <c r="B12" s="382" t="s">
        <v>6</v>
      </c>
      <c r="C12" s="382"/>
      <c r="D12" s="382"/>
      <c r="E12" s="14"/>
    </row>
    <row r="13" spans="1:25" x14ac:dyDescent="0.25">
      <c r="A13" s="13"/>
      <c r="B13" s="15"/>
      <c r="C13" s="12"/>
      <c r="D13" s="9"/>
    </row>
    <row r="14" spans="1:25" x14ac:dyDescent="0.25">
      <c r="A14" s="13">
        <v>4</v>
      </c>
      <c r="B14" s="5" t="s">
        <v>11</v>
      </c>
      <c r="C14" s="290" t="s">
        <v>954</v>
      </c>
      <c r="D14" s="9"/>
    </row>
    <row r="15" spans="1:25" ht="13.5" x14ac:dyDescent="0.25">
      <c r="A15" s="13"/>
      <c r="B15" s="353" t="s">
        <v>13</v>
      </c>
      <c r="C15" s="385"/>
      <c r="D15" s="9"/>
      <c r="F15" s="12"/>
    </row>
    <row r="16" spans="1:25" x14ac:dyDescent="0.25">
      <c r="A16" s="13"/>
      <c r="C16" s="12"/>
      <c r="D16" s="9"/>
    </row>
    <row r="17" spans="1:14" x14ac:dyDescent="0.25">
      <c r="A17" s="13">
        <v>5</v>
      </c>
      <c r="B17" s="333" t="s">
        <v>14</v>
      </c>
      <c r="C17" s="372"/>
      <c r="D17" s="372"/>
      <c r="E17" s="372"/>
      <c r="F17" s="15"/>
      <c r="G17" s="15"/>
      <c r="H17" s="15"/>
      <c r="I17" s="15"/>
      <c r="J17" s="17"/>
      <c r="K17" s="17"/>
      <c r="L17" s="17"/>
      <c r="M17" s="17"/>
      <c r="N17" s="17"/>
    </row>
    <row r="18" spans="1:14" ht="15" customHeight="1" x14ac:dyDescent="0.25">
      <c r="A18" s="13"/>
      <c r="B18" s="287" t="s">
        <v>15</v>
      </c>
      <c r="C18" s="373" t="s">
        <v>16</v>
      </c>
      <c r="D18" s="373"/>
      <c r="E18" s="373"/>
      <c r="F18" s="19"/>
      <c r="G18" s="17"/>
      <c r="H18" s="17"/>
      <c r="I18" s="17"/>
      <c r="J18" s="17"/>
      <c r="K18" s="17"/>
      <c r="L18" s="17"/>
      <c r="M18" s="17"/>
      <c r="N18" s="17"/>
    </row>
    <row r="19" spans="1:14" ht="25.5" x14ac:dyDescent="0.25">
      <c r="A19" s="13"/>
      <c r="B19" s="287" t="s">
        <v>887</v>
      </c>
      <c r="C19" s="373" t="s">
        <v>16</v>
      </c>
      <c r="D19" s="373"/>
      <c r="E19" s="373"/>
      <c r="F19" s="19"/>
      <c r="G19" s="17"/>
      <c r="I19" s="17"/>
      <c r="J19" s="17"/>
      <c r="K19" s="17"/>
      <c r="L19" s="17"/>
      <c r="M19" s="17"/>
      <c r="N19" s="17"/>
    </row>
    <row r="20" spans="1:14" x14ac:dyDescent="0.25">
      <c r="A20" s="13"/>
      <c r="B20" s="287" t="s">
        <v>664</v>
      </c>
      <c r="C20" s="373" t="s">
        <v>16</v>
      </c>
      <c r="D20" s="373"/>
      <c r="E20" s="373"/>
      <c r="F20" s="19"/>
      <c r="G20" s="17"/>
      <c r="H20" s="17"/>
      <c r="I20" s="17"/>
      <c r="J20" s="17"/>
      <c r="K20" s="17"/>
      <c r="L20" s="17"/>
      <c r="M20" s="17"/>
      <c r="N20" s="17"/>
    </row>
    <row r="21" spans="1:14" x14ac:dyDescent="0.25">
      <c r="A21" s="13"/>
      <c r="B21" s="287" t="s">
        <v>19</v>
      </c>
      <c r="C21" s="363" t="s">
        <v>382</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53" t="s">
        <v>769</v>
      </c>
      <c r="C23" s="354"/>
      <c r="D23" s="354"/>
      <c r="E23" s="355"/>
      <c r="F23" s="19"/>
      <c r="G23" s="17"/>
      <c r="H23" s="17"/>
      <c r="I23" s="17"/>
      <c r="J23" s="17"/>
      <c r="K23" s="17"/>
      <c r="L23" s="17"/>
      <c r="M23" s="17"/>
      <c r="N23" s="17"/>
    </row>
    <row r="24" spans="1:14" ht="15" customHeight="1"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row>
    <row r="27" spans="1:14" ht="15" customHeight="1" x14ac:dyDescent="0.25">
      <c r="A27" s="13"/>
      <c r="B27" s="364" t="s">
        <v>23</v>
      </c>
      <c r="C27" s="365"/>
      <c r="D27" s="365"/>
      <c r="E27" s="366"/>
      <c r="F27" s="19"/>
    </row>
    <row r="28" spans="1:14" x14ac:dyDescent="0.25">
      <c r="A28" s="13"/>
      <c r="B28" s="286" t="s">
        <v>24</v>
      </c>
      <c r="C28" s="285" t="s">
        <v>324</v>
      </c>
      <c r="D28" s="285" t="s">
        <v>325</v>
      </c>
      <c r="E28" s="285" t="s">
        <v>27</v>
      </c>
      <c r="F28" s="19"/>
    </row>
    <row r="29" spans="1:14" ht="12.75" customHeight="1" x14ac:dyDescent="0.25">
      <c r="A29" s="13"/>
      <c r="B29" s="289" t="s">
        <v>28</v>
      </c>
      <c r="C29" s="291">
        <v>3328.22</v>
      </c>
      <c r="D29" s="420" t="s">
        <v>326</v>
      </c>
      <c r="E29" s="420" t="s">
        <v>265</v>
      </c>
      <c r="F29" s="19"/>
    </row>
    <row r="30" spans="1:14" ht="15" customHeight="1" x14ac:dyDescent="0.25">
      <c r="A30" s="13"/>
      <c r="B30" s="289" t="s">
        <v>29</v>
      </c>
      <c r="C30" s="291">
        <v>683.21</v>
      </c>
      <c r="D30" s="421"/>
      <c r="E30" s="421"/>
      <c r="F30" s="19"/>
    </row>
    <row r="31" spans="1:14" x14ac:dyDescent="0.25">
      <c r="A31" s="13"/>
      <c r="B31" s="289" t="s">
        <v>30</v>
      </c>
      <c r="C31" s="291">
        <v>1023.6</v>
      </c>
      <c r="D31" s="421"/>
      <c r="E31" s="421"/>
      <c r="F31" s="19"/>
    </row>
    <row r="32" spans="1:14" x14ac:dyDescent="0.25">
      <c r="A32" s="13"/>
      <c r="B32" s="289" t="s">
        <v>31</v>
      </c>
      <c r="C32" s="291">
        <v>1677.09</v>
      </c>
      <c r="D32" s="422"/>
      <c r="E32" s="422"/>
      <c r="F32" s="19"/>
    </row>
    <row r="33" spans="1:10" x14ac:dyDescent="0.25">
      <c r="A33" s="13"/>
      <c r="B33" s="353" t="s">
        <v>769</v>
      </c>
      <c r="C33" s="354"/>
      <c r="D33" s="354"/>
      <c r="E33" s="355"/>
      <c r="F33" s="19"/>
    </row>
    <row r="34" spans="1:10" ht="15" customHeight="1" x14ac:dyDescent="0.25">
      <c r="A34" s="13"/>
      <c r="B34" s="17"/>
      <c r="C34" s="19"/>
      <c r="D34" s="19"/>
      <c r="E34" s="19"/>
      <c r="F34" s="19"/>
    </row>
    <row r="35" spans="1:10" x14ac:dyDescent="0.25">
      <c r="A35" s="13">
        <v>7</v>
      </c>
      <c r="B35" s="333" t="s">
        <v>33</v>
      </c>
      <c r="C35" s="333"/>
      <c r="D35" s="333"/>
      <c r="E35" s="333"/>
      <c r="F35" s="15"/>
      <c r="G35" s="15"/>
      <c r="H35" s="15"/>
      <c r="I35" s="15"/>
      <c r="J35" s="15"/>
    </row>
    <row r="36" spans="1:10" ht="15" customHeight="1" x14ac:dyDescent="0.25">
      <c r="A36" s="13"/>
      <c r="B36" s="286" t="s">
        <v>34</v>
      </c>
      <c r="C36" s="291" t="s">
        <v>902</v>
      </c>
      <c r="D36" s="17"/>
      <c r="E36" s="17"/>
      <c r="F36" s="17"/>
    </row>
    <row r="37" spans="1:10" ht="25.5" x14ac:dyDescent="0.25">
      <c r="A37" s="13"/>
      <c r="B37" s="286" t="s">
        <v>36</v>
      </c>
      <c r="C37" s="291" t="s">
        <v>382</v>
      </c>
      <c r="D37" s="17"/>
      <c r="E37" s="17"/>
      <c r="F37" s="17"/>
    </row>
    <row r="38" spans="1:10" ht="25.5" x14ac:dyDescent="0.25">
      <c r="A38" s="13"/>
      <c r="B38" s="292" t="s">
        <v>37</v>
      </c>
      <c r="C38" s="294" t="s">
        <v>263</v>
      </c>
      <c r="D38" s="17"/>
      <c r="E38" s="17"/>
      <c r="F38" s="17"/>
    </row>
    <row r="39" spans="1:10" x14ac:dyDescent="0.25">
      <c r="A39" s="13"/>
      <c r="B39" s="382" t="s">
        <v>606</v>
      </c>
      <c r="C39" s="382"/>
      <c r="D39" s="17"/>
      <c r="E39" s="17"/>
      <c r="F39" s="17"/>
    </row>
    <row r="40" spans="1:10" ht="15" customHeight="1" x14ac:dyDescent="0.25">
      <c r="A40" s="13"/>
      <c r="B40" s="12"/>
      <c r="C40" s="17"/>
      <c r="D40" s="17"/>
      <c r="E40" s="17"/>
      <c r="F40" s="17"/>
    </row>
    <row r="41" spans="1:10" x14ac:dyDescent="0.25">
      <c r="A41" s="13"/>
      <c r="B41" s="19"/>
      <c r="C41" s="17"/>
      <c r="D41" s="17"/>
      <c r="E41" s="17"/>
      <c r="F41" s="17"/>
    </row>
    <row r="42" spans="1:10" x14ac:dyDescent="0.25">
      <c r="A42" s="13">
        <v>8</v>
      </c>
      <c r="B42" s="333" t="s">
        <v>38</v>
      </c>
      <c r="C42" s="333"/>
      <c r="D42" s="333"/>
      <c r="E42" s="333"/>
      <c r="F42" s="15"/>
      <c r="G42" s="15"/>
      <c r="H42" s="15"/>
      <c r="I42" s="15"/>
      <c r="J42" s="15"/>
    </row>
    <row r="43" spans="1:10" ht="15" customHeight="1" x14ac:dyDescent="0.25">
      <c r="A43" s="13"/>
      <c r="B43" s="286" t="s">
        <v>39</v>
      </c>
      <c r="C43" s="350" t="s">
        <v>16</v>
      </c>
      <c r="D43" s="351"/>
      <c r="E43" s="352"/>
      <c r="F43" s="17"/>
    </row>
    <row r="44" spans="1:10" x14ac:dyDescent="0.25">
      <c r="A44" s="13"/>
      <c r="B44" s="286" t="s">
        <v>36</v>
      </c>
      <c r="C44" s="350" t="s">
        <v>382</v>
      </c>
      <c r="D44" s="351"/>
      <c r="E44" s="352"/>
      <c r="F44" s="17"/>
    </row>
    <row r="45" spans="1:10" x14ac:dyDescent="0.25">
      <c r="A45" s="13"/>
      <c r="B45" s="286" t="s">
        <v>37</v>
      </c>
      <c r="C45" s="367" t="s">
        <v>263</v>
      </c>
      <c r="D45" s="367"/>
      <c r="E45" s="367"/>
      <c r="F45" s="17"/>
    </row>
    <row r="46" spans="1:10" x14ac:dyDescent="0.25">
      <c r="A46" s="13"/>
      <c r="B46" s="353" t="s">
        <v>40</v>
      </c>
      <c r="C46" s="354"/>
      <c r="D46" s="354"/>
      <c r="E46" s="355"/>
      <c r="F46" s="17"/>
    </row>
    <row r="47" spans="1:10" ht="15" customHeight="1" x14ac:dyDescent="0.25">
      <c r="A47" s="4"/>
      <c r="B47" s="12"/>
      <c r="C47" s="12"/>
      <c r="D47" s="28"/>
      <c r="E47" s="17"/>
    </row>
    <row r="48" spans="1:10" x14ac:dyDescent="0.25">
      <c r="A48" s="29">
        <v>9</v>
      </c>
      <c r="B48" s="340" t="s">
        <v>41</v>
      </c>
      <c r="C48" s="333"/>
      <c r="D48" s="333"/>
      <c r="E48" s="333"/>
      <c r="F48" s="30"/>
      <c r="G48" s="15"/>
      <c r="H48" s="15"/>
      <c r="I48" s="15"/>
    </row>
    <row r="49" spans="1:14" ht="15" customHeight="1" x14ac:dyDescent="0.25">
      <c r="A49" s="29"/>
      <c r="B49" s="284" t="s">
        <v>42</v>
      </c>
      <c r="C49" s="32" t="s">
        <v>43</v>
      </c>
      <c r="D49" s="33" t="s">
        <v>44</v>
      </c>
      <c r="E49" s="32" t="s">
        <v>268</v>
      </c>
    </row>
    <row r="50" spans="1:14" ht="89.25" x14ac:dyDescent="0.25">
      <c r="A50" s="34"/>
      <c r="B50" s="94" t="s">
        <v>369</v>
      </c>
      <c r="C50" s="94" t="s">
        <v>948</v>
      </c>
      <c r="D50" s="148" t="s">
        <v>248</v>
      </c>
      <c r="E50" s="148" t="s">
        <v>248</v>
      </c>
    </row>
    <row r="51" spans="1:14" x14ac:dyDescent="0.25">
      <c r="A51" s="36"/>
      <c r="B51" s="345" t="s">
        <v>946</v>
      </c>
      <c r="C51" s="346"/>
      <c r="D51" s="346"/>
      <c r="E51" s="347"/>
      <c r="F51" s="19"/>
      <c r="G51" s="19"/>
      <c r="H51" s="19"/>
    </row>
    <row r="52" spans="1:14" ht="15" customHeight="1" x14ac:dyDescent="0.25">
      <c r="A52" s="37"/>
      <c r="B52" s="75"/>
      <c r="C52" s="28"/>
      <c r="D52" s="28"/>
      <c r="E52" s="28"/>
      <c r="F52" s="19"/>
      <c r="G52" s="19"/>
      <c r="H52" s="19"/>
      <c r="I52" s="19"/>
    </row>
    <row r="53" spans="1:14" x14ac:dyDescent="0.25">
      <c r="A53" s="29">
        <v>10</v>
      </c>
      <c r="B53" s="340" t="s">
        <v>41</v>
      </c>
      <c r="C53" s="333"/>
      <c r="D53" s="333"/>
      <c r="E53" s="333"/>
      <c r="F53" s="19"/>
      <c r="G53" s="19"/>
      <c r="H53" s="19"/>
    </row>
    <row r="54" spans="1:14" ht="15" customHeight="1" x14ac:dyDescent="0.25">
      <c r="A54" s="34"/>
      <c r="B54" s="357" t="s">
        <v>50</v>
      </c>
      <c r="C54" s="394" t="s">
        <v>949</v>
      </c>
      <c r="D54" s="395"/>
      <c r="E54" s="396"/>
      <c r="K54" s="2"/>
    </row>
    <row r="55" spans="1:14" ht="39" customHeight="1" x14ac:dyDescent="0.25">
      <c r="A55" s="34"/>
      <c r="B55" s="358"/>
      <c r="C55" s="397"/>
      <c r="D55" s="398"/>
      <c r="E55" s="399"/>
      <c r="K55" s="2"/>
    </row>
    <row r="56" spans="1:14" ht="21" customHeight="1" x14ac:dyDescent="0.25">
      <c r="A56" s="29"/>
      <c r="B56" s="39" t="s">
        <v>54</v>
      </c>
      <c r="C56" s="344" t="s">
        <v>248</v>
      </c>
      <c r="D56" s="344"/>
      <c r="E56" s="344"/>
      <c r="K56" s="12"/>
    </row>
    <row r="57" spans="1:14" x14ac:dyDescent="0.25">
      <c r="A57" s="34"/>
      <c r="B57" s="39" t="s">
        <v>55</v>
      </c>
      <c r="C57" s="438" t="s">
        <v>56</v>
      </c>
      <c r="D57" s="439"/>
      <c r="E57" s="440"/>
      <c r="K57" s="40"/>
    </row>
    <row r="58" spans="1:14" x14ac:dyDescent="0.25">
      <c r="A58" s="34"/>
      <c r="B58" s="345" t="s">
        <v>946</v>
      </c>
      <c r="C58" s="346"/>
      <c r="D58" s="346"/>
      <c r="E58" s="347"/>
      <c r="K58" s="40"/>
    </row>
    <row r="59" spans="1:14" s="239" customFormat="1" ht="15" customHeight="1" x14ac:dyDescent="0.2">
      <c r="A59" s="41" t="s">
        <v>57</v>
      </c>
      <c r="B59" s="384" t="s">
        <v>58</v>
      </c>
      <c r="C59" s="384"/>
      <c r="D59" s="384"/>
      <c r="E59" s="384"/>
    </row>
    <row r="60" spans="1:14" x14ac:dyDescent="0.25">
      <c r="A60" s="48"/>
      <c r="B60" s="49"/>
      <c r="C60" s="50"/>
      <c r="D60" s="50"/>
      <c r="E60" s="50"/>
      <c r="F60" s="50"/>
      <c r="G60" s="12"/>
      <c r="H60" s="12"/>
      <c r="I60" s="12"/>
      <c r="J60" s="12"/>
      <c r="K60" s="12"/>
      <c r="L60" s="12"/>
    </row>
    <row r="61" spans="1:14" x14ac:dyDescent="0.25">
      <c r="A61" s="13">
        <v>11</v>
      </c>
      <c r="B61" s="5" t="s">
        <v>59</v>
      </c>
      <c r="C61" s="349" t="s">
        <v>60</v>
      </c>
      <c r="D61" s="349"/>
      <c r="E61" s="349"/>
      <c r="F61" s="15"/>
      <c r="G61" s="15"/>
      <c r="H61" s="51"/>
      <c r="I61" s="15"/>
      <c r="J61" s="15"/>
      <c r="L61" s="12"/>
    </row>
    <row r="62" spans="1:14" ht="15" customHeight="1" x14ac:dyDescent="0.25">
      <c r="A62" s="13"/>
      <c r="B62" s="19"/>
      <c r="C62" s="19"/>
      <c r="D62" s="19"/>
      <c r="E62" s="19"/>
      <c r="F62" s="19"/>
      <c r="G62" s="19"/>
      <c r="H62" s="52"/>
      <c r="I62" s="52"/>
      <c r="J62" s="19"/>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86" t="s">
        <v>62</v>
      </c>
      <c r="C65" s="289" t="s">
        <v>892</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953</v>
      </c>
      <c r="D67" s="372" t="s">
        <v>333</v>
      </c>
      <c r="E67" s="336" t="s">
        <v>294</v>
      </c>
      <c r="F67" s="327" t="s">
        <v>685</v>
      </c>
      <c r="G67" s="328"/>
      <c r="H67" s="329"/>
      <c r="I67" s="330" t="s">
        <v>69</v>
      </c>
      <c r="J67" s="330"/>
      <c r="K67" s="330"/>
      <c r="L67" s="330" t="s">
        <v>70</v>
      </c>
      <c r="M67" s="330"/>
      <c r="N67" s="330"/>
    </row>
    <row r="68" spans="1:14" ht="15" customHeight="1" x14ac:dyDescent="0.25">
      <c r="A68" s="4"/>
      <c r="B68" s="333"/>
      <c r="C68" s="335"/>
      <c r="D68" s="335"/>
      <c r="E68" s="337"/>
      <c r="F68" s="286" t="s">
        <v>71</v>
      </c>
      <c r="G68" s="286" t="s">
        <v>72</v>
      </c>
      <c r="H68" s="286" t="s">
        <v>73</v>
      </c>
      <c r="I68" s="286" t="s">
        <v>74</v>
      </c>
      <c r="J68" s="286" t="s">
        <v>72</v>
      </c>
      <c r="K68" s="286" t="s">
        <v>73</v>
      </c>
      <c r="L68" s="286" t="s">
        <v>74</v>
      </c>
      <c r="M68" s="286" t="s">
        <v>72</v>
      </c>
      <c r="N68" s="286" t="s">
        <v>73</v>
      </c>
    </row>
    <row r="69" spans="1:14" x14ac:dyDescent="0.25">
      <c r="A69" s="4"/>
      <c r="B69" s="286" t="s">
        <v>75</v>
      </c>
      <c r="C69" s="131">
        <v>38.25</v>
      </c>
      <c r="D69" s="53">
        <v>315.95</v>
      </c>
      <c r="E69" s="53">
        <v>37.200000000000003</v>
      </c>
      <c r="F69" s="53">
        <v>37</v>
      </c>
      <c r="G69" s="53">
        <v>37</v>
      </c>
      <c r="H69" s="53">
        <v>37</v>
      </c>
      <c r="I69" s="53" t="s">
        <v>48</v>
      </c>
      <c r="J69" s="53" t="s">
        <v>48</v>
      </c>
      <c r="K69" s="53" t="s">
        <v>48</v>
      </c>
      <c r="L69" s="53" t="s">
        <v>48</v>
      </c>
      <c r="M69" s="53" t="s">
        <v>48</v>
      </c>
      <c r="N69" s="53" t="s">
        <v>48</v>
      </c>
    </row>
    <row r="70" spans="1:14" ht="25.5" x14ac:dyDescent="0.25">
      <c r="A70" s="4"/>
      <c r="B70" s="286" t="s">
        <v>278</v>
      </c>
      <c r="C70" s="131">
        <v>49771.29</v>
      </c>
      <c r="D70" s="131">
        <v>47705.8</v>
      </c>
      <c r="E70" s="53">
        <v>52574.46</v>
      </c>
      <c r="F70" s="53">
        <v>49509.15</v>
      </c>
      <c r="G70" s="53">
        <v>52516.76</v>
      </c>
      <c r="H70" s="53">
        <v>27500.79</v>
      </c>
      <c r="I70" s="53" t="s">
        <v>48</v>
      </c>
      <c r="J70" s="53" t="s">
        <v>48</v>
      </c>
      <c r="K70" s="53" t="s">
        <v>48</v>
      </c>
      <c r="L70" s="53" t="s">
        <v>48</v>
      </c>
      <c r="M70" s="53" t="s">
        <v>48</v>
      </c>
      <c r="N70" s="53" t="s">
        <v>48</v>
      </c>
    </row>
    <row r="71" spans="1:14" ht="13.5" x14ac:dyDescent="0.25">
      <c r="A71" s="4"/>
      <c r="B71" s="383" t="s">
        <v>21</v>
      </c>
      <c r="C71" s="434"/>
      <c r="D71" s="434"/>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ht="15" customHeight="1" x14ac:dyDescent="0.25">
      <c r="B73" s="382" t="s">
        <v>80</v>
      </c>
      <c r="C73" s="382"/>
      <c r="D73" s="382"/>
      <c r="E73" s="382"/>
      <c r="F73" s="382"/>
      <c r="G73" s="382"/>
      <c r="H73" s="382"/>
      <c r="I73" s="382"/>
      <c r="J73" s="382"/>
      <c r="K73" s="382"/>
      <c r="L73" s="382"/>
      <c r="M73" s="382"/>
      <c r="N73" s="382"/>
    </row>
    <row r="74" spans="1:14" ht="15" customHeight="1" x14ac:dyDescent="0.25">
      <c r="A74" s="4"/>
      <c r="B74" s="382" t="s">
        <v>420</v>
      </c>
      <c r="C74" s="382"/>
      <c r="D74" s="382"/>
      <c r="E74" s="382"/>
      <c r="F74" s="382"/>
      <c r="G74" s="382"/>
      <c r="H74" s="382"/>
      <c r="I74" s="382"/>
      <c r="J74" s="382"/>
      <c r="K74" s="382"/>
      <c r="L74" s="382"/>
      <c r="M74" s="382"/>
      <c r="N74" s="382"/>
    </row>
    <row r="75" spans="1:14" ht="15" customHeight="1" x14ac:dyDescent="0.25">
      <c r="A75" s="4"/>
      <c r="B75" s="382" t="s">
        <v>82</v>
      </c>
      <c r="C75" s="382"/>
      <c r="D75" s="382"/>
      <c r="E75" s="382"/>
      <c r="F75" s="382"/>
      <c r="G75" s="382"/>
      <c r="H75" s="382"/>
      <c r="I75" s="382"/>
      <c r="J75" s="382"/>
      <c r="K75" s="382"/>
      <c r="L75" s="382"/>
      <c r="M75" s="382"/>
      <c r="N75" s="382"/>
    </row>
    <row r="76" spans="1:14" ht="15" customHeight="1"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ht="15" customHeight="1" x14ac:dyDescent="0.25">
      <c r="A78" s="13"/>
      <c r="C78" s="19"/>
      <c r="D78" s="19"/>
      <c r="E78" s="19"/>
      <c r="F78" s="19"/>
      <c r="G78" s="19"/>
      <c r="H78" s="19"/>
      <c r="I78" s="19"/>
      <c r="J78" s="19"/>
      <c r="K78" s="19"/>
      <c r="L78" s="19"/>
      <c r="M78" s="19"/>
      <c r="N78" s="19"/>
    </row>
    <row r="79" spans="1:14" ht="76.5" x14ac:dyDescent="0.25">
      <c r="A79" s="4"/>
      <c r="B79" s="283" t="s">
        <v>84</v>
      </c>
      <c r="C79" s="285" t="s">
        <v>85</v>
      </c>
      <c r="D79" s="285" t="s">
        <v>86</v>
      </c>
      <c r="E79" s="285" t="s">
        <v>280</v>
      </c>
      <c r="F79" s="285" t="s">
        <v>88</v>
      </c>
      <c r="G79" s="285" t="s">
        <v>169</v>
      </c>
      <c r="H79" s="17"/>
      <c r="I79" s="17"/>
      <c r="J79" s="17"/>
      <c r="K79" s="17"/>
      <c r="L79" s="17"/>
      <c r="M79" s="17"/>
      <c r="N79" s="17"/>
    </row>
    <row r="80" spans="1:14" ht="12.75" customHeight="1" x14ac:dyDescent="0.2">
      <c r="A80" s="4"/>
      <c r="B80" s="316" t="s">
        <v>90</v>
      </c>
      <c r="C80" s="5" t="s">
        <v>951</v>
      </c>
      <c r="D80" s="91">
        <v>5.32</v>
      </c>
      <c r="E80" s="91">
        <v>9.0399999999999991</v>
      </c>
      <c r="F80" s="412" t="s">
        <v>388</v>
      </c>
      <c r="G80" s="412" t="s">
        <v>282</v>
      </c>
      <c r="H80" s="62"/>
      <c r="I80" s="62"/>
      <c r="J80" s="62"/>
      <c r="K80" s="62"/>
      <c r="L80" s="62"/>
      <c r="M80" s="62"/>
      <c r="N80" s="62"/>
    </row>
    <row r="81" spans="1:14" ht="12" customHeight="1" x14ac:dyDescent="0.25">
      <c r="A81" s="4"/>
      <c r="B81" s="316"/>
      <c r="C81" s="5" t="s">
        <v>827</v>
      </c>
      <c r="D81" s="288"/>
      <c r="E81" s="288"/>
      <c r="F81" s="413"/>
      <c r="G81" s="413"/>
      <c r="H81" s="62"/>
      <c r="I81" s="62"/>
      <c r="J81" s="62"/>
      <c r="K81" s="62"/>
      <c r="L81" s="62"/>
      <c r="M81" s="62"/>
      <c r="N81" s="62"/>
    </row>
    <row r="82" spans="1:14" ht="25.5" x14ac:dyDescent="0.25">
      <c r="A82" s="4"/>
      <c r="B82" s="316"/>
      <c r="C82" s="25" t="s">
        <v>950</v>
      </c>
      <c r="D82" s="288">
        <v>1.97</v>
      </c>
      <c r="E82" s="288">
        <v>-60.05</v>
      </c>
      <c r="F82" s="413"/>
      <c r="G82" s="413"/>
      <c r="H82" s="62"/>
      <c r="I82" s="62"/>
      <c r="J82" s="62"/>
      <c r="K82" s="62"/>
      <c r="L82" s="62"/>
      <c r="M82" s="62"/>
      <c r="N82" s="62"/>
    </row>
    <row r="83" spans="1:14" x14ac:dyDescent="0.25">
      <c r="A83" s="4"/>
      <c r="B83" s="316"/>
      <c r="C83" s="5" t="s">
        <v>93</v>
      </c>
      <c r="D83" s="164">
        <v>1.97</v>
      </c>
      <c r="E83" s="164">
        <v>1.97</v>
      </c>
      <c r="F83" s="413"/>
      <c r="G83" s="413"/>
      <c r="H83" s="62"/>
      <c r="I83" s="62"/>
      <c r="J83" s="62"/>
      <c r="K83" s="62"/>
      <c r="L83" s="62"/>
      <c r="M83" s="62"/>
      <c r="N83" s="62"/>
    </row>
    <row r="84" spans="1:14" x14ac:dyDescent="0.2">
      <c r="A84" s="4"/>
      <c r="B84" s="316" t="s">
        <v>94</v>
      </c>
      <c r="C84" s="5" t="s">
        <v>951</v>
      </c>
      <c r="D84" s="93">
        <v>6.95</v>
      </c>
      <c r="E84" s="93">
        <f>F69/E80</f>
        <v>4.0929203539823016</v>
      </c>
      <c r="F84" s="413"/>
      <c r="G84" s="413"/>
      <c r="H84" s="62"/>
      <c r="I84" s="62"/>
      <c r="J84" s="62"/>
      <c r="K84" s="62"/>
      <c r="L84" s="62"/>
      <c r="M84" s="62"/>
      <c r="N84" s="62"/>
    </row>
    <row r="85" spans="1:14" x14ac:dyDescent="0.25">
      <c r="A85" s="4"/>
      <c r="B85" s="316"/>
      <c r="C85" s="5" t="s">
        <v>92</v>
      </c>
      <c r="D85" s="288"/>
      <c r="E85" s="288"/>
      <c r="F85" s="413"/>
      <c r="G85" s="413"/>
      <c r="H85" s="62"/>
      <c r="I85" s="62"/>
      <c r="J85" s="62"/>
      <c r="K85" s="62"/>
      <c r="L85" s="62"/>
      <c r="M85" s="62"/>
      <c r="N85" s="62"/>
    </row>
    <row r="86" spans="1:14" ht="25.5" x14ac:dyDescent="0.25">
      <c r="A86" s="4"/>
      <c r="B86" s="316"/>
      <c r="C86" s="25" t="s">
        <v>950</v>
      </c>
      <c r="D86" s="288">
        <v>182.94</v>
      </c>
      <c r="E86" s="297">
        <v>0</v>
      </c>
      <c r="F86" s="413"/>
      <c r="G86" s="413"/>
      <c r="H86" s="62"/>
      <c r="I86" s="62"/>
      <c r="J86" s="62"/>
      <c r="K86" s="62"/>
      <c r="L86" s="62"/>
      <c r="M86" s="62"/>
      <c r="N86" s="62"/>
    </row>
    <row r="87" spans="1:14" x14ac:dyDescent="0.25">
      <c r="A87" s="4"/>
      <c r="B87" s="316"/>
      <c r="C87" s="5" t="s">
        <v>93</v>
      </c>
      <c r="D87" s="164">
        <f>D86</f>
        <v>182.94</v>
      </c>
      <c r="E87" s="164"/>
      <c r="F87" s="413"/>
      <c r="G87" s="413"/>
      <c r="H87" s="62"/>
      <c r="I87" s="62"/>
      <c r="J87" s="62"/>
      <c r="K87" s="62"/>
      <c r="L87" s="62"/>
      <c r="M87" s="62"/>
      <c r="N87" s="62"/>
    </row>
    <row r="88" spans="1:14" x14ac:dyDescent="0.2">
      <c r="A88" s="4"/>
      <c r="B88" s="316" t="s">
        <v>95</v>
      </c>
      <c r="C88" s="5" t="s">
        <v>951</v>
      </c>
      <c r="D88" s="114">
        <v>0.38300000000000001</v>
      </c>
      <c r="E88" s="114">
        <v>0.253</v>
      </c>
      <c r="F88" s="413"/>
      <c r="G88" s="413"/>
      <c r="H88" s="62"/>
      <c r="I88" s="62"/>
      <c r="J88" s="62"/>
      <c r="K88" s="62"/>
      <c r="L88" s="62"/>
      <c r="M88" s="62"/>
      <c r="N88" s="62"/>
    </row>
    <row r="89" spans="1:14" x14ac:dyDescent="0.25">
      <c r="A89" s="4"/>
      <c r="B89" s="316"/>
      <c r="C89" s="5" t="s">
        <v>92</v>
      </c>
      <c r="D89" s="288"/>
      <c r="E89" s="288"/>
      <c r="F89" s="413"/>
      <c r="G89" s="413"/>
      <c r="H89" s="62"/>
      <c r="I89" s="62"/>
      <c r="J89" s="62"/>
      <c r="K89" s="62"/>
      <c r="L89" s="62"/>
      <c r="M89" s="62"/>
      <c r="N89" s="62"/>
    </row>
    <row r="90" spans="1:14" ht="25.5" x14ac:dyDescent="0.2">
      <c r="A90" s="4"/>
      <c r="B90" s="316"/>
      <c r="C90" s="25" t="s">
        <v>950</v>
      </c>
      <c r="D90" s="114">
        <v>3.5000000000000001E-3</v>
      </c>
      <c r="E90" s="114">
        <v>-4.0000000000000002E-4</v>
      </c>
      <c r="F90" s="413"/>
      <c r="G90" s="413"/>
      <c r="H90" s="62"/>
      <c r="I90" s="62"/>
      <c r="J90" s="62"/>
      <c r="K90" s="62"/>
      <c r="L90" s="62"/>
      <c r="M90" s="62"/>
      <c r="N90" s="62"/>
    </row>
    <row r="91" spans="1:14" x14ac:dyDescent="0.25">
      <c r="A91" s="4"/>
      <c r="B91" s="316"/>
      <c r="C91" s="5" t="s">
        <v>93</v>
      </c>
      <c r="D91" s="313">
        <v>3.5000000000000001E-3</v>
      </c>
      <c r="E91" s="313">
        <v>-4.0000000000000002E-4</v>
      </c>
      <c r="F91" s="413"/>
      <c r="G91" s="413"/>
      <c r="H91" s="62"/>
      <c r="I91" s="62"/>
      <c r="J91" s="62"/>
      <c r="K91" s="66"/>
      <c r="L91" s="62"/>
      <c r="M91" s="62"/>
      <c r="N91" s="62"/>
    </row>
    <row r="92" spans="1:14" x14ac:dyDescent="0.2">
      <c r="A92" s="4"/>
      <c r="B92" s="316" t="s">
        <v>96</v>
      </c>
      <c r="C92" s="5" t="s">
        <v>951</v>
      </c>
      <c r="D92" s="91">
        <v>13.89</v>
      </c>
      <c r="E92" s="91">
        <v>26.38</v>
      </c>
      <c r="F92" s="413"/>
      <c r="G92" s="413"/>
      <c r="H92" s="62"/>
      <c r="I92" s="62"/>
      <c r="J92" s="62"/>
      <c r="K92" s="62"/>
      <c r="L92" s="62"/>
      <c r="M92" s="62"/>
      <c r="N92" s="62"/>
    </row>
    <row r="93" spans="1:14" x14ac:dyDescent="0.25">
      <c r="A93" s="4"/>
      <c r="B93" s="316"/>
      <c r="C93" s="5" t="s">
        <v>92</v>
      </c>
      <c r="D93" s="288"/>
      <c r="E93" s="288"/>
      <c r="F93" s="413"/>
      <c r="G93" s="413"/>
      <c r="H93" s="62"/>
      <c r="I93" s="62"/>
      <c r="J93" s="62"/>
      <c r="K93" s="62"/>
      <c r="L93" s="62"/>
      <c r="M93" s="62"/>
      <c r="N93" s="62"/>
    </row>
    <row r="94" spans="1:14" ht="25.5" x14ac:dyDescent="0.25">
      <c r="A94" s="4"/>
      <c r="B94" s="386"/>
      <c r="C94" s="25" t="s">
        <v>950</v>
      </c>
      <c r="D94" s="288">
        <v>560.79999999999995</v>
      </c>
      <c r="E94" s="288">
        <v>500.76</v>
      </c>
      <c r="F94" s="413"/>
      <c r="G94" s="413"/>
      <c r="H94" s="62"/>
      <c r="I94" s="62"/>
      <c r="J94" s="62"/>
      <c r="K94" s="62"/>
      <c r="L94" s="62"/>
      <c r="M94" s="62"/>
      <c r="N94" s="62"/>
    </row>
    <row r="95" spans="1:14" x14ac:dyDescent="0.25">
      <c r="A95" s="4"/>
      <c r="B95" s="386"/>
      <c r="C95" s="5" t="s">
        <v>93</v>
      </c>
      <c r="D95" s="164">
        <f>D94</f>
        <v>560.79999999999995</v>
      </c>
      <c r="E95" s="164">
        <f>E94</f>
        <v>500.76</v>
      </c>
      <c r="F95" s="413"/>
      <c r="G95" s="413"/>
      <c r="H95" s="62"/>
      <c r="I95" s="62"/>
      <c r="J95" s="62"/>
      <c r="K95" s="62"/>
      <c r="L95" s="62"/>
      <c r="M95" s="62"/>
      <c r="N95" s="62"/>
    </row>
    <row r="96" spans="1:14" s="57" customFormat="1" x14ac:dyDescent="0.25">
      <c r="B96" s="387"/>
      <c r="C96" s="388"/>
      <c r="D96" s="388"/>
      <c r="E96" s="388"/>
      <c r="F96" s="388"/>
      <c r="G96" s="389"/>
    </row>
    <row r="97" spans="1:14" x14ac:dyDescent="0.25">
      <c r="A97" s="4"/>
      <c r="B97" s="376" t="s">
        <v>952</v>
      </c>
      <c r="C97" s="377"/>
      <c r="D97" s="377"/>
      <c r="E97" s="377"/>
      <c r="F97" s="377"/>
      <c r="G97" s="378"/>
      <c r="H97" s="62"/>
      <c r="I97" s="62"/>
      <c r="J97" s="62"/>
      <c r="K97" s="62"/>
      <c r="L97" s="62"/>
      <c r="M97" s="62"/>
      <c r="N97" s="62"/>
    </row>
    <row r="98" spans="1:14" x14ac:dyDescent="0.25">
      <c r="A98" s="4"/>
      <c r="B98" s="379" t="s">
        <v>128</v>
      </c>
      <c r="C98" s="380"/>
      <c r="D98" s="380"/>
      <c r="E98" s="380"/>
      <c r="F98" s="380"/>
      <c r="G98" s="381"/>
      <c r="H98" s="62"/>
      <c r="I98" s="62"/>
      <c r="J98" s="62"/>
      <c r="K98" s="62"/>
      <c r="L98" s="62"/>
      <c r="M98" s="62"/>
      <c r="N98" s="62"/>
    </row>
    <row r="99" spans="1:14" x14ac:dyDescent="0.25">
      <c r="A99" s="4"/>
      <c r="B99" s="353"/>
      <c r="C99" s="354"/>
      <c r="D99" s="354"/>
      <c r="E99" s="354"/>
      <c r="F99" s="354"/>
      <c r="G99" s="355"/>
      <c r="H99" s="62"/>
      <c r="I99" s="62"/>
      <c r="J99" s="62"/>
      <c r="K99" s="62"/>
      <c r="L99" s="62"/>
      <c r="M99" s="62"/>
      <c r="N99" s="62"/>
    </row>
    <row r="100" spans="1:14" x14ac:dyDescent="0.25">
      <c r="B100" s="12"/>
      <c r="C100" s="323"/>
      <c r="D100" s="323"/>
      <c r="E100" s="323"/>
      <c r="F100" s="323"/>
      <c r="G100" s="323"/>
      <c r="H100" s="62"/>
      <c r="I100" s="62"/>
    </row>
    <row r="101" spans="1:14" x14ac:dyDescent="0.25">
      <c r="A101" s="13">
        <v>14</v>
      </c>
      <c r="B101" s="70" t="s">
        <v>99</v>
      </c>
      <c r="C101" s="324" t="s">
        <v>48</v>
      </c>
      <c r="D101" s="325"/>
      <c r="E101" s="325"/>
      <c r="F101" s="325"/>
      <c r="G101" s="326"/>
    </row>
    <row r="102" spans="1:14" x14ac:dyDescent="0.25">
      <c r="A102" s="293"/>
      <c r="C102" s="84"/>
      <c r="D102" s="84"/>
      <c r="E102" s="84"/>
      <c r="F102" s="84"/>
      <c r="G102" s="84"/>
    </row>
    <row r="103" spans="1:14" x14ac:dyDescent="0.25">
      <c r="C103" s="84"/>
      <c r="D103" s="84"/>
      <c r="E103" s="84"/>
      <c r="F103" s="84"/>
      <c r="G103" s="84"/>
    </row>
    <row r="105" spans="1:14" x14ac:dyDescent="0.25">
      <c r="B105" s="374" t="s">
        <v>947</v>
      </c>
      <c r="C105" s="375"/>
      <c r="D105" s="375"/>
      <c r="E105" s="375"/>
      <c r="F105" s="375"/>
      <c r="G105" s="375"/>
      <c r="H105" s="375"/>
    </row>
    <row r="110" spans="1:14" x14ac:dyDescent="0.25">
      <c r="D110" s="242"/>
      <c r="E110" s="242"/>
    </row>
    <row r="111" spans="1:14" x14ac:dyDescent="0.25">
      <c r="E111" s="242"/>
    </row>
    <row r="114" ht="15" customHeight="1" x14ac:dyDescent="0.25"/>
    <row r="115" ht="15" customHeight="1" x14ac:dyDescent="0.25"/>
    <row r="122" ht="15" customHeight="1" x14ac:dyDescent="0.25"/>
  </sheetData>
  <sheetProtection password="DB00" sheet="1" objects="1" scenarios="1"/>
  <mergeCells count="63">
    <mergeCell ref="C44:E44"/>
    <mergeCell ref="C45:E45"/>
    <mergeCell ref="B27:E27"/>
    <mergeCell ref="B23:E23"/>
    <mergeCell ref="B26:E26"/>
    <mergeCell ref="D29:D32"/>
    <mergeCell ref="E67:E68"/>
    <mergeCell ref="C57:E57"/>
    <mergeCell ref="B59:E59"/>
    <mergeCell ref="B46:E46"/>
    <mergeCell ref="B48:E48"/>
    <mergeCell ref="B51:E51"/>
    <mergeCell ref="C43:E43"/>
    <mergeCell ref="A1:B1"/>
    <mergeCell ref="C5:E5"/>
    <mergeCell ref="B6:D6"/>
    <mergeCell ref="B9:D9"/>
    <mergeCell ref="C11:E11"/>
    <mergeCell ref="B12:D12"/>
    <mergeCell ref="B15:C15"/>
    <mergeCell ref="B17:E17"/>
    <mergeCell ref="C18:E18"/>
    <mergeCell ref="C19:E19"/>
    <mergeCell ref="C20:E20"/>
    <mergeCell ref="C21:E21"/>
    <mergeCell ref="C22:E22"/>
    <mergeCell ref="E29:E32"/>
    <mergeCell ref="B33:E33"/>
    <mergeCell ref="B35:E35"/>
    <mergeCell ref="B39:C39"/>
    <mergeCell ref="B42:E42"/>
    <mergeCell ref="I67:K67"/>
    <mergeCell ref="L67:N67"/>
    <mergeCell ref="B71:N71"/>
    <mergeCell ref="B77:G77"/>
    <mergeCell ref="B80:B83"/>
    <mergeCell ref="F80:F95"/>
    <mergeCell ref="G80:G95"/>
    <mergeCell ref="B84:B87"/>
    <mergeCell ref="B75:N75"/>
    <mergeCell ref="B88:B91"/>
    <mergeCell ref="B72:N72"/>
    <mergeCell ref="B73:N73"/>
    <mergeCell ref="B74:N74"/>
    <mergeCell ref="B67:B68"/>
    <mergeCell ref="C67:C68"/>
    <mergeCell ref="D67:D68"/>
    <mergeCell ref="C101:G101"/>
    <mergeCell ref="B105:H105"/>
    <mergeCell ref="C3:E3"/>
    <mergeCell ref="B92:B95"/>
    <mergeCell ref="B96:G96"/>
    <mergeCell ref="B97:G97"/>
    <mergeCell ref="B98:G98"/>
    <mergeCell ref="B99:G99"/>
    <mergeCell ref="C100:G100"/>
    <mergeCell ref="F67:H67"/>
    <mergeCell ref="B53:E53"/>
    <mergeCell ref="B54:B55"/>
    <mergeCell ref="C54:E55"/>
    <mergeCell ref="C56:E56"/>
    <mergeCell ref="B58:E58"/>
    <mergeCell ref="C61:E6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abSelected="1" workbookViewId="0">
      <selection activeCell="B8" sqref="B8"/>
    </sheetView>
  </sheetViews>
  <sheetFormatPr defaultColWidth="8.85546875" defaultRowHeight="12.75" x14ac:dyDescent="0.25"/>
  <cols>
    <col min="1" max="1" width="8.85546875" style="26"/>
    <col min="2" max="2" width="40.85546875" style="26" customWidth="1"/>
    <col min="3" max="3" width="29.28515625" style="26" customWidth="1"/>
    <col min="4" max="4" width="17.5703125" style="26" customWidth="1"/>
    <col min="5" max="5" width="22.28515625" style="26" customWidth="1"/>
    <col min="6" max="6" width="11.28515625" style="26" customWidth="1"/>
    <col min="7" max="7" width="12.7109375" style="26" customWidth="1"/>
    <col min="8" max="16384" width="8.85546875" style="26"/>
  </cols>
  <sheetData>
    <row r="1" spans="1:25" x14ac:dyDescent="0.25">
      <c r="A1" s="369" t="s">
        <v>0</v>
      </c>
      <c r="B1" s="369"/>
      <c r="D1" s="2"/>
    </row>
    <row r="3" spans="1:25" x14ac:dyDescent="0.25">
      <c r="A3" s="4" t="s">
        <v>1</v>
      </c>
      <c r="B3" s="5" t="s">
        <v>2</v>
      </c>
      <c r="C3" s="250" t="s">
        <v>885</v>
      </c>
      <c r="I3" s="12"/>
      <c r="J3" s="12"/>
      <c r="K3" s="12"/>
      <c r="L3" s="12"/>
      <c r="M3" s="12"/>
      <c r="N3" s="12"/>
      <c r="O3" s="12"/>
      <c r="P3" s="12"/>
      <c r="Q3" s="12"/>
      <c r="R3" s="12"/>
      <c r="S3" s="12"/>
      <c r="T3" s="12"/>
      <c r="U3" s="12"/>
      <c r="V3" s="12"/>
      <c r="W3" s="12"/>
      <c r="X3" s="12"/>
      <c r="Y3" s="12"/>
    </row>
    <row r="4" spans="1:25" x14ac:dyDescent="0.25">
      <c r="D4" s="9"/>
      <c r="F4" s="12"/>
      <c r="G4" s="12"/>
      <c r="H4" s="12"/>
      <c r="I4" s="12"/>
      <c r="J4" s="12"/>
      <c r="K4" s="12"/>
      <c r="L4" s="12"/>
      <c r="M4" s="12"/>
      <c r="N4" s="12"/>
      <c r="O4" s="12"/>
      <c r="P4" s="12"/>
      <c r="Q4" s="12"/>
      <c r="R4" s="12"/>
      <c r="S4" s="12"/>
      <c r="T4" s="12"/>
      <c r="U4" s="12"/>
      <c r="V4" s="12"/>
      <c r="W4" s="12"/>
      <c r="X4" s="12"/>
      <c r="Y4" s="12"/>
    </row>
    <row r="5" spans="1:25" x14ac:dyDescent="0.25">
      <c r="A5" s="10">
        <v>1</v>
      </c>
      <c r="B5" s="11" t="s">
        <v>4</v>
      </c>
      <c r="C5" s="324" t="s">
        <v>759</v>
      </c>
      <c r="D5" s="325"/>
      <c r="E5" s="370"/>
      <c r="F5" s="12"/>
      <c r="G5" s="12"/>
      <c r="H5" s="12"/>
      <c r="I5" s="12"/>
      <c r="J5" s="12"/>
      <c r="K5" s="12"/>
      <c r="L5" s="12"/>
      <c r="M5" s="12"/>
      <c r="N5" s="12"/>
    </row>
    <row r="6" spans="1:25"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x14ac:dyDescent="0.25">
      <c r="A8" s="13">
        <v>2</v>
      </c>
      <c r="B8" s="11" t="s">
        <v>7</v>
      </c>
      <c r="C8" s="16" t="s">
        <v>886</v>
      </c>
      <c r="D8" s="9"/>
      <c r="E8" s="12"/>
      <c r="F8" s="12"/>
      <c r="G8" s="12"/>
      <c r="H8" s="12"/>
      <c r="I8" s="12"/>
      <c r="J8" s="12"/>
      <c r="K8" s="12"/>
      <c r="L8" s="12"/>
      <c r="M8" s="12"/>
      <c r="N8" s="12"/>
    </row>
    <row r="9" spans="1:25"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25.5" x14ac:dyDescent="0.25">
      <c r="A11" s="13">
        <v>3</v>
      </c>
      <c r="B11" s="11" t="s">
        <v>9</v>
      </c>
      <c r="C11" s="324" t="s">
        <v>10</v>
      </c>
      <c r="D11" s="325"/>
      <c r="E11" s="370"/>
    </row>
    <row r="12" spans="1:25" x14ac:dyDescent="0.25">
      <c r="A12" s="13"/>
      <c r="B12" s="382" t="s">
        <v>6</v>
      </c>
      <c r="C12" s="382"/>
      <c r="D12" s="382"/>
      <c r="E12" s="14"/>
    </row>
    <row r="13" spans="1:25" x14ac:dyDescent="0.25">
      <c r="A13" s="13"/>
      <c r="B13" s="15"/>
      <c r="C13" s="12"/>
      <c r="D13" s="9"/>
    </row>
    <row r="14" spans="1:25" x14ac:dyDescent="0.25">
      <c r="A14" s="13">
        <v>4</v>
      </c>
      <c r="B14" s="5" t="s">
        <v>11</v>
      </c>
      <c r="C14" s="250" t="s">
        <v>547</v>
      </c>
      <c r="D14" s="9"/>
    </row>
    <row r="15" spans="1:25" ht="13.5" x14ac:dyDescent="0.25">
      <c r="A15" s="13"/>
      <c r="B15" s="353" t="s">
        <v>13</v>
      </c>
      <c r="C15" s="385"/>
      <c r="D15" s="9"/>
      <c r="F15" s="12"/>
    </row>
    <row r="16" spans="1:25" x14ac:dyDescent="0.25">
      <c r="A16" s="13"/>
      <c r="C16" s="12"/>
      <c r="D16" s="9"/>
    </row>
    <row r="17" spans="1:14" x14ac:dyDescent="0.25">
      <c r="A17" s="13">
        <v>5</v>
      </c>
      <c r="B17" s="333" t="s">
        <v>14</v>
      </c>
      <c r="C17" s="372"/>
      <c r="D17" s="372"/>
      <c r="E17" s="372"/>
      <c r="F17" s="15"/>
      <c r="G17" s="15"/>
      <c r="H17" s="15"/>
      <c r="I17" s="15"/>
      <c r="J17" s="17"/>
      <c r="K17" s="17"/>
      <c r="L17" s="17"/>
      <c r="M17" s="17"/>
      <c r="N17" s="17"/>
    </row>
    <row r="18" spans="1:14" x14ac:dyDescent="0.25">
      <c r="A18" s="13"/>
      <c r="B18" s="247" t="s">
        <v>15</v>
      </c>
      <c r="C18" s="373">
        <v>0.1255</v>
      </c>
      <c r="D18" s="373"/>
      <c r="E18" s="373"/>
      <c r="F18" s="19"/>
      <c r="G18" s="17"/>
      <c r="H18" s="17"/>
      <c r="I18" s="17"/>
      <c r="J18" s="17"/>
      <c r="K18" s="17"/>
      <c r="L18" s="17"/>
      <c r="M18" s="17"/>
      <c r="N18" s="17"/>
    </row>
    <row r="19" spans="1:14" ht="25.5" x14ac:dyDescent="0.25">
      <c r="A19" s="13"/>
      <c r="B19" s="247" t="s">
        <v>887</v>
      </c>
      <c r="C19" s="373">
        <v>0.1255</v>
      </c>
      <c r="D19" s="373"/>
      <c r="E19" s="373"/>
      <c r="F19" s="19"/>
      <c r="G19" s="17"/>
      <c r="I19" s="17"/>
      <c r="J19" s="17"/>
      <c r="K19" s="17"/>
      <c r="L19" s="17"/>
      <c r="M19" s="17"/>
      <c r="N19" s="17"/>
    </row>
    <row r="20" spans="1:14" x14ac:dyDescent="0.25">
      <c r="A20" s="13"/>
      <c r="B20" s="247" t="s">
        <v>664</v>
      </c>
      <c r="C20" s="363" t="s">
        <v>382</v>
      </c>
      <c r="D20" s="363"/>
      <c r="E20" s="363"/>
      <c r="F20" s="19"/>
      <c r="G20" s="17"/>
      <c r="H20" s="17"/>
      <c r="I20" s="17"/>
      <c r="J20" s="17"/>
      <c r="K20" s="17"/>
      <c r="L20" s="17"/>
      <c r="M20" s="17"/>
      <c r="N20" s="17"/>
    </row>
    <row r="21" spans="1:14" x14ac:dyDescent="0.25">
      <c r="A21" s="13"/>
      <c r="B21" s="247" t="s">
        <v>19</v>
      </c>
      <c r="C21" s="363" t="s">
        <v>382</v>
      </c>
      <c r="D21" s="363"/>
      <c r="E21" s="363"/>
      <c r="F21" s="19"/>
      <c r="G21" s="17"/>
      <c r="H21" s="17"/>
      <c r="I21" s="17"/>
      <c r="J21" s="17"/>
      <c r="K21" s="17"/>
      <c r="L21" s="17"/>
      <c r="M21" s="17"/>
      <c r="N21" s="17"/>
    </row>
    <row r="22" spans="1:14" x14ac:dyDescent="0.25">
      <c r="A22" s="13"/>
      <c r="B22" s="20" t="s">
        <v>20</v>
      </c>
      <c r="C22" s="426" t="s">
        <v>263</v>
      </c>
      <c r="D22" s="426"/>
      <c r="E22" s="426"/>
      <c r="F22" s="19"/>
      <c r="G22" s="17"/>
      <c r="H22" s="17"/>
      <c r="I22" s="17"/>
      <c r="J22" s="17"/>
      <c r="K22" s="17"/>
      <c r="L22" s="17"/>
      <c r="M22" s="17"/>
      <c r="N22" s="17"/>
    </row>
    <row r="23" spans="1:14" x14ac:dyDescent="0.25">
      <c r="A23" s="13"/>
      <c r="B23" s="353" t="s">
        <v>769</v>
      </c>
      <c r="C23" s="354"/>
      <c r="D23" s="354"/>
      <c r="E23" s="355"/>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row>
    <row r="27" spans="1:14" x14ac:dyDescent="0.25">
      <c r="A27" s="13"/>
      <c r="B27" s="364" t="s">
        <v>23</v>
      </c>
      <c r="C27" s="365"/>
      <c r="D27" s="365"/>
      <c r="E27" s="366"/>
      <c r="F27" s="19"/>
    </row>
    <row r="28" spans="1:14" x14ac:dyDescent="0.25">
      <c r="A28" s="13"/>
      <c r="B28" s="246" t="s">
        <v>24</v>
      </c>
      <c r="C28" s="245" t="s">
        <v>324</v>
      </c>
      <c r="D28" s="245" t="s">
        <v>325</v>
      </c>
      <c r="E28" s="245" t="s">
        <v>27</v>
      </c>
      <c r="F28" s="19"/>
    </row>
    <row r="29" spans="1:14" x14ac:dyDescent="0.25">
      <c r="A29" s="13"/>
      <c r="B29" s="249" t="s">
        <v>28</v>
      </c>
      <c r="C29" s="420" t="s">
        <v>888</v>
      </c>
      <c r="D29" s="420" t="s">
        <v>326</v>
      </c>
      <c r="E29" s="420" t="s">
        <v>265</v>
      </c>
      <c r="F29" s="19"/>
    </row>
    <row r="30" spans="1:14" x14ac:dyDescent="0.25">
      <c r="A30" s="13"/>
      <c r="B30" s="249" t="s">
        <v>29</v>
      </c>
      <c r="C30" s="421"/>
      <c r="D30" s="421"/>
      <c r="E30" s="421"/>
      <c r="F30" s="19"/>
    </row>
    <row r="31" spans="1:14" x14ac:dyDescent="0.25">
      <c r="A31" s="13"/>
      <c r="B31" s="249" t="s">
        <v>30</v>
      </c>
      <c r="C31" s="421"/>
      <c r="D31" s="421"/>
      <c r="E31" s="421"/>
      <c r="F31" s="19"/>
    </row>
    <row r="32" spans="1:14" x14ac:dyDescent="0.25">
      <c r="A32" s="13"/>
      <c r="B32" s="249" t="s">
        <v>31</v>
      </c>
      <c r="C32" s="422"/>
      <c r="D32" s="422"/>
      <c r="E32" s="422"/>
      <c r="F32" s="19"/>
    </row>
    <row r="33" spans="1:10" x14ac:dyDescent="0.25">
      <c r="A33" s="13"/>
      <c r="B33" s="353" t="s">
        <v>769</v>
      </c>
      <c r="C33" s="354"/>
      <c r="D33" s="354"/>
      <c r="E33" s="355"/>
      <c r="F33" s="19"/>
    </row>
    <row r="34" spans="1:10" x14ac:dyDescent="0.25">
      <c r="A34" s="13"/>
      <c r="B34" s="17"/>
      <c r="C34" s="19"/>
      <c r="D34" s="19"/>
      <c r="E34" s="19"/>
      <c r="F34" s="19"/>
    </row>
    <row r="35" spans="1:10" x14ac:dyDescent="0.25">
      <c r="A35" s="13">
        <v>7</v>
      </c>
      <c r="B35" s="333" t="s">
        <v>33</v>
      </c>
      <c r="C35" s="333"/>
      <c r="D35" s="333"/>
      <c r="E35" s="333"/>
      <c r="F35" s="15"/>
      <c r="G35" s="15"/>
      <c r="H35" s="15"/>
      <c r="I35" s="15"/>
      <c r="J35" s="15"/>
    </row>
    <row r="36" spans="1:10" x14ac:dyDescent="0.25">
      <c r="A36" s="13"/>
      <c r="B36" s="246" t="s">
        <v>34</v>
      </c>
      <c r="C36" s="251" t="s">
        <v>381</v>
      </c>
      <c r="D36" s="17"/>
      <c r="E36" s="17"/>
      <c r="F36" s="17"/>
    </row>
    <row r="37" spans="1:10" ht="25.5" x14ac:dyDescent="0.25">
      <c r="A37" s="13"/>
      <c r="B37" s="246" t="s">
        <v>36</v>
      </c>
      <c r="C37" s="251" t="s">
        <v>382</v>
      </c>
      <c r="D37" s="17"/>
      <c r="E37" s="17"/>
      <c r="F37" s="17"/>
    </row>
    <row r="38" spans="1:10" ht="25.5" x14ac:dyDescent="0.25">
      <c r="A38" s="13"/>
      <c r="B38" s="252" t="s">
        <v>37</v>
      </c>
      <c r="C38" s="255" t="s">
        <v>263</v>
      </c>
      <c r="D38" s="17"/>
      <c r="E38" s="17"/>
      <c r="F38" s="17"/>
    </row>
    <row r="39" spans="1:10" x14ac:dyDescent="0.25">
      <c r="A39" s="13"/>
      <c r="B39" s="382" t="s">
        <v>606</v>
      </c>
      <c r="C39" s="382"/>
      <c r="D39" s="17"/>
      <c r="E39" s="17"/>
      <c r="F39" s="17"/>
    </row>
    <row r="40" spans="1:10" x14ac:dyDescent="0.25">
      <c r="A40" s="13"/>
      <c r="B40" s="12"/>
      <c r="C40" s="17"/>
      <c r="D40" s="17"/>
      <c r="E40" s="17"/>
      <c r="F40" s="17"/>
    </row>
    <row r="41" spans="1:10" x14ac:dyDescent="0.25">
      <c r="A41" s="13"/>
      <c r="B41" s="19"/>
      <c r="C41" s="17"/>
      <c r="D41" s="17"/>
      <c r="E41" s="17"/>
      <c r="F41" s="17"/>
    </row>
    <row r="42" spans="1:10" x14ac:dyDescent="0.25">
      <c r="A42" s="13">
        <v>8</v>
      </c>
      <c r="B42" s="333" t="s">
        <v>38</v>
      </c>
      <c r="C42" s="333"/>
      <c r="D42" s="333"/>
      <c r="E42" s="333"/>
      <c r="F42" s="15"/>
      <c r="G42" s="15"/>
      <c r="H42" s="15"/>
      <c r="I42" s="15"/>
      <c r="J42" s="15"/>
    </row>
    <row r="43" spans="1:10" ht="12.75" customHeight="1" x14ac:dyDescent="0.25">
      <c r="A43" s="13"/>
      <c r="B43" s="246" t="s">
        <v>39</v>
      </c>
      <c r="C43" s="350" t="s">
        <v>381</v>
      </c>
      <c r="D43" s="351"/>
      <c r="E43" s="352"/>
      <c r="F43" s="17"/>
    </row>
    <row r="44" spans="1:10" x14ac:dyDescent="0.25">
      <c r="A44" s="13"/>
      <c r="B44" s="246" t="s">
        <v>36</v>
      </c>
      <c r="C44" s="350" t="s">
        <v>382</v>
      </c>
      <c r="D44" s="351"/>
      <c r="E44" s="352"/>
      <c r="F44" s="17"/>
    </row>
    <row r="45" spans="1:10" x14ac:dyDescent="0.25">
      <c r="A45" s="13"/>
      <c r="B45" s="246" t="s">
        <v>37</v>
      </c>
      <c r="C45" s="367" t="s">
        <v>263</v>
      </c>
      <c r="D45" s="367"/>
      <c r="E45" s="367"/>
      <c r="F45" s="17"/>
    </row>
    <row r="46" spans="1:10" x14ac:dyDescent="0.25">
      <c r="A46" s="13"/>
      <c r="B46" s="353" t="s">
        <v>40</v>
      </c>
      <c r="C46" s="354"/>
      <c r="D46" s="354"/>
      <c r="E46" s="355"/>
      <c r="F46" s="17"/>
    </row>
    <row r="47" spans="1:10" x14ac:dyDescent="0.25">
      <c r="A47" s="4"/>
      <c r="B47" s="12"/>
      <c r="C47" s="12"/>
      <c r="D47" s="28"/>
      <c r="E47" s="17"/>
    </row>
    <row r="48" spans="1:10" x14ac:dyDescent="0.25">
      <c r="A48" s="29">
        <v>9</v>
      </c>
      <c r="B48" s="340" t="s">
        <v>41</v>
      </c>
      <c r="C48" s="333"/>
      <c r="D48" s="333"/>
      <c r="E48" s="333"/>
      <c r="F48" s="30"/>
      <c r="G48" s="15"/>
      <c r="H48" s="15"/>
      <c r="I48" s="15"/>
    </row>
    <row r="49" spans="1:14" ht="25.5" x14ac:dyDescent="0.25">
      <c r="A49" s="29"/>
      <c r="B49" s="244" t="s">
        <v>42</v>
      </c>
      <c r="C49" s="32" t="s">
        <v>43</v>
      </c>
      <c r="D49" s="33" t="s">
        <v>44</v>
      </c>
      <c r="E49" s="32" t="s">
        <v>268</v>
      </c>
    </row>
    <row r="50" spans="1:14" ht="80.25" customHeight="1" x14ac:dyDescent="0.25">
      <c r="A50" s="34"/>
      <c r="B50" s="94" t="s">
        <v>369</v>
      </c>
      <c r="C50" s="94" t="s">
        <v>889</v>
      </c>
      <c r="D50" s="148" t="s">
        <v>248</v>
      </c>
      <c r="E50" s="148" t="s">
        <v>248</v>
      </c>
    </row>
    <row r="51" spans="1:14" x14ac:dyDescent="0.25">
      <c r="A51" s="36"/>
      <c r="B51" s="345" t="s">
        <v>890</v>
      </c>
      <c r="C51" s="346"/>
      <c r="D51" s="346"/>
      <c r="E51" s="347"/>
      <c r="F51" s="19"/>
      <c r="G51" s="19"/>
      <c r="H51" s="19"/>
    </row>
    <row r="52" spans="1:14" x14ac:dyDescent="0.25">
      <c r="A52" s="37"/>
      <c r="B52" s="75"/>
      <c r="C52" s="28"/>
      <c r="D52" s="28"/>
      <c r="E52" s="28"/>
      <c r="F52" s="19"/>
      <c r="G52" s="19"/>
      <c r="H52" s="19"/>
      <c r="I52" s="19"/>
    </row>
    <row r="53" spans="1:14" x14ac:dyDescent="0.25">
      <c r="A53" s="29">
        <v>10</v>
      </c>
      <c r="B53" s="340" t="s">
        <v>41</v>
      </c>
      <c r="C53" s="333"/>
      <c r="D53" s="333"/>
      <c r="E53" s="333"/>
      <c r="F53" s="19"/>
      <c r="G53" s="19"/>
      <c r="H53" s="19"/>
    </row>
    <row r="54" spans="1:14" x14ac:dyDescent="0.25">
      <c r="A54" s="34"/>
      <c r="B54" s="357" t="s">
        <v>50</v>
      </c>
      <c r="C54" s="394" t="s">
        <v>891</v>
      </c>
      <c r="D54" s="395"/>
      <c r="E54" s="396"/>
      <c r="K54" s="2"/>
    </row>
    <row r="55" spans="1:14" ht="28.5" customHeight="1" x14ac:dyDescent="0.25">
      <c r="A55" s="34"/>
      <c r="B55" s="358"/>
      <c r="C55" s="397"/>
      <c r="D55" s="398"/>
      <c r="E55" s="399"/>
      <c r="K55" s="2"/>
    </row>
    <row r="56" spans="1:14" x14ac:dyDescent="0.25">
      <c r="A56" s="29"/>
      <c r="B56" s="39" t="s">
        <v>54</v>
      </c>
      <c r="C56" s="344" t="s">
        <v>248</v>
      </c>
      <c r="D56" s="344"/>
      <c r="E56" s="344"/>
      <c r="K56" s="12"/>
    </row>
    <row r="57" spans="1:14" x14ac:dyDescent="0.25">
      <c r="A57" s="34"/>
      <c r="B57" s="39" t="s">
        <v>55</v>
      </c>
      <c r="C57" s="438" t="s">
        <v>56</v>
      </c>
      <c r="D57" s="439"/>
      <c r="E57" s="440"/>
      <c r="K57" s="40"/>
    </row>
    <row r="58" spans="1:14" x14ac:dyDescent="0.25">
      <c r="A58" s="34"/>
      <c r="B58" s="345" t="s">
        <v>890</v>
      </c>
      <c r="C58" s="346"/>
      <c r="D58" s="346"/>
      <c r="E58" s="347"/>
      <c r="K58" s="40"/>
    </row>
    <row r="59" spans="1:14" s="239" customFormat="1" x14ac:dyDescent="0.2">
      <c r="A59" s="41" t="s">
        <v>57</v>
      </c>
      <c r="B59" s="384" t="s">
        <v>58</v>
      </c>
      <c r="C59" s="384"/>
      <c r="D59" s="384"/>
      <c r="E59" s="384"/>
    </row>
    <row r="60" spans="1:14" x14ac:dyDescent="0.25">
      <c r="A60" s="48"/>
      <c r="B60" s="49"/>
      <c r="C60" s="50"/>
      <c r="D60" s="50"/>
      <c r="E60" s="50"/>
      <c r="F60" s="50"/>
      <c r="G60" s="12"/>
      <c r="H60" s="12"/>
      <c r="I60" s="12"/>
      <c r="J60" s="12"/>
      <c r="K60" s="12"/>
      <c r="L60" s="12"/>
    </row>
    <row r="61" spans="1:14" x14ac:dyDescent="0.25">
      <c r="A61" s="13">
        <v>11</v>
      </c>
      <c r="B61" s="5" t="s">
        <v>59</v>
      </c>
      <c r="C61" s="349" t="s">
        <v>60</v>
      </c>
      <c r="D61" s="349"/>
      <c r="E61" s="349"/>
      <c r="F61" s="15"/>
      <c r="G61" s="15"/>
      <c r="H61" s="51"/>
      <c r="I61" s="15"/>
      <c r="J61" s="15"/>
      <c r="L61" s="12"/>
    </row>
    <row r="62" spans="1:14" x14ac:dyDescent="0.25">
      <c r="A62" s="13"/>
      <c r="B62" s="19"/>
      <c r="C62" s="19"/>
      <c r="D62" s="19"/>
      <c r="E62" s="19"/>
      <c r="F62" s="19"/>
      <c r="G62" s="19"/>
      <c r="H62" s="52"/>
      <c r="I62" s="52"/>
      <c r="J62" s="19"/>
    </row>
    <row r="63" spans="1:14" x14ac:dyDescent="0.25">
      <c r="A63" s="13">
        <v>12</v>
      </c>
      <c r="B63" s="15" t="s">
        <v>61</v>
      </c>
      <c r="C63" s="15"/>
      <c r="D63" s="15"/>
      <c r="E63" s="51"/>
      <c r="F63" s="51"/>
      <c r="G63" s="15"/>
      <c r="H63" s="15"/>
      <c r="I63" s="15"/>
      <c r="J63" s="15"/>
      <c r="K63" s="15"/>
      <c r="L63" s="15"/>
      <c r="M63" s="15"/>
      <c r="N63" s="15"/>
    </row>
    <row r="64" spans="1:14" x14ac:dyDescent="0.25">
      <c r="A64" s="13"/>
      <c r="B64" s="15"/>
      <c r="C64" s="15"/>
      <c r="D64" s="15"/>
      <c r="E64" s="51"/>
      <c r="F64" s="51"/>
      <c r="G64" s="51"/>
      <c r="H64" s="15"/>
      <c r="I64" s="15"/>
      <c r="J64" s="15"/>
      <c r="K64" s="15"/>
      <c r="L64" s="15"/>
      <c r="M64" s="15"/>
      <c r="N64" s="15"/>
    </row>
    <row r="65" spans="1:14" x14ac:dyDescent="0.25">
      <c r="A65" s="13"/>
      <c r="B65" s="246" t="s">
        <v>62</v>
      </c>
      <c r="C65" s="249" t="s">
        <v>892</v>
      </c>
      <c r="D65" s="19"/>
      <c r="E65" s="19"/>
      <c r="F65" s="52"/>
      <c r="G65" s="52"/>
      <c r="H65" s="19"/>
      <c r="I65" s="19"/>
      <c r="J65" s="19"/>
      <c r="K65" s="19"/>
      <c r="L65" s="19"/>
      <c r="M65" s="19"/>
      <c r="N65" s="19"/>
    </row>
    <row r="66" spans="1:14" x14ac:dyDescent="0.25">
      <c r="A66" s="13"/>
      <c r="B66" s="19"/>
      <c r="C66" s="19"/>
      <c r="D66" s="19"/>
      <c r="E66" s="19"/>
      <c r="F66" s="19"/>
      <c r="G66" s="19"/>
      <c r="H66" s="19"/>
      <c r="I66" s="19"/>
      <c r="J66" s="19"/>
      <c r="K66" s="19"/>
      <c r="L66" s="19"/>
      <c r="M66" s="19"/>
      <c r="N66" s="19"/>
    </row>
    <row r="67" spans="1:14" x14ac:dyDescent="0.25">
      <c r="A67" s="13"/>
      <c r="B67" s="333" t="s">
        <v>64</v>
      </c>
      <c r="C67" s="372" t="s">
        <v>893</v>
      </c>
      <c r="D67" s="372" t="s">
        <v>333</v>
      </c>
      <c r="E67" s="336" t="s">
        <v>294</v>
      </c>
      <c r="F67" s="327" t="s">
        <v>685</v>
      </c>
      <c r="G67" s="328"/>
      <c r="H67" s="329"/>
      <c r="I67" s="330" t="s">
        <v>69</v>
      </c>
      <c r="J67" s="330"/>
      <c r="K67" s="330"/>
      <c r="L67" s="330" t="s">
        <v>70</v>
      </c>
      <c r="M67" s="330"/>
      <c r="N67" s="330"/>
    </row>
    <row r="68" spans="1:14" ht="38.25" x14ac:dyDescent="0.25">
      <c r="A68" s="4"/>
      <c r="B68" s="333"/>
      <c r="C68" s="335"/>
      <c r="D68" s="335"/>
      <c r="E68" s="337"/>
      <c r="F68" s="246" t="s">
        <v>71</v>
      </c>
      <c r="G68" s="246" t="s">
        <v>72</v>
      </c>
      <c r="H68" s="246" t="s">
        <v>73</v>
      </c>
      <c r="I68" s="246" t="s">
        <v>74</v>
      </c>
      <c r="J68" s="246" t="s">
        <v>72</v>
      </c>
      <c r="K68" s="246" t="s">
        <v>73</v>
      </c>
      <c r="L68" s="246" t="s">
        <v>74</v>
      </c>
      <c r="M68" s="246" t="s">
        <v>72</v>
      </c>
      <c r="N68" s="246" t="s">
        <v>73</v>
      </c>
    </row>
    <row r="69" spans="1:14" x14ac:dyDescent="0.25">
      <c r="A69" s="4"/>
      <c r="B69" s="246" t="s">
        <v>75</v>
      </c>
      <c r="C69" s="131">
        <v>140</v>
      </c>
      <c r="D69" s="53">
        <v>315.95</v>
      </c>
      <c r="E69" s="53">
        <v>722.65</v>
      </c>
      <c r="F69" s="53" t="s">
        <v>48</v>
      </c>
      <c r="G69" s="53" t="s">
        <v>48</v>
      </c>
      <c r="H69" s="53" t="s">
        <v>48</v>
      </c>
      <c r="I69" s="53" t="s">
        <v>48</v>
      </c>
      <c r="J69" s="53" t="s">
        <v>48</v>
      </c>
      <c r="K69" s="53" t="s">
        <v>48</v>
      </c>
      <c r="L69" s="53" t="s">
        <v>48</v>
      </c>
      <c r="M69" s="53" t="s">
        <v>48</v>
      </c>
      <c r="N69" s="53" t="s">
        <v>48</v>
      </c>
    </row>
    <row r="70" spans="1:14" ht="25.5" x14ac:dyDescent="0.25">
      <c r="A70" s="4"/>
      <c r="B70" s="246" t="s">
        <v>278</v>
      </c>
      <c r="C70" s="131">
        <v>49661.760000000002</v>
      </c>
      <c r="D70" s="131">
        <v>48949.760000000002</v>
      </c>
      <c r="E70" s="53">
        <v>52861.18</v>
      </c>
      <c r="F70" s="53" t="s">
        <v>48</v>
      </c>
      <c r="G70" s="53" t="s">
        <v>48</v>
      </c>
      <c r="H70" s="53" t="s">
        <v>48</v>
      </c>
      <c r="I70" s="53" t="s">
        <v>48</v>
      </c>
      <c r="J70" s="53" t="s">
        <v>48</v>
      </c>
      <c r="K70" s="53" t="s">
        <v>48</v>
      </c>
      <c r="L70" s="53" t="s">
        <v>48</v>
      </c>
      <c r="M70" s="53" t="s">
        <v>48</v>
      </c>
      <c r="N70" s="53" t="s">
        <v>48</v>
      </c>
    </row>
    <row r="71" spans="1:14" ht="13.5" x14ac:dyDescent="0.25">
      <c r="A71" s="4"/>
      <c r="B71" s="383" t="s">
        <v>21</v>
      </c>
      <c r="C71" s="434"/>
      <c r="D71" s="434"/>
      <c r="E71" s="383"/>
      <c r="F71" s="383"/>
      <c r="G71" s="383"/>
      <c r="H71" s="383"/>
      <c r="I71" s="383"/>
      <c r="J71" s="383"/>
      <c r="K71" s="383"/>
      <c r="L71" s="383"/>
      <c r="M71" s="383"/>
      <c r="N71" s="383"/>
    </row>
    <row r="72" spans="1:14" x14ac:dyDescent="0.25">
      <c r="A72" s="4"/>
      <c r="B72" s="382" t="s">
        <v>79</v>
      </c>
      <c r="C72" s="382"/>
      <c r="D72" s="382"/>
      <c r="E72" s="382"/>
      <c r="F72" s="382"/>
      <c r="G72" s="382"/>
      <c r="H72" s="382"/>
      <c r="I72" s="382"/>
      <c r="J72" s="382"/>
      <c r="K72" s="382"/>
      <c r="L72" s="382"/>
      <c r="M72" s="382"/>
      <c r="N72" s="382"/>
    </row>
    <row r="73" spans="1:14" s="57" customFormat="1" x14ac:dyDescent="0.25">
      <c r="B73" s="382" t="s">
        <v>80</v>
      </c>
      <c r="C73" s="382"/>
      <c r="D73" s="382"/>
      <c r="E73" s="382"/>
      <c r="F73" s="382"/>
      <c r="G73" s="382"/>
      <c r="H73" s="382"/>
      <c r="I73" s="382"/>
      <c r="J73" s="382"/>
      <c r="K73" s="382"/>
      <c r="L73" s="382"/>
      <c r="M73" s="382"/>
      <c r="N73" s="382"/>
    </row>
    <row r="74" spans="1:14" x14ac:dyDescent="0.25">
      <c r="A74" s="4"/>
      <c r="B74" s="382" t="s">
        <v>420</v>
      </c>
      <c r="C74" s="382"/>
      <c r="D74" s="382"/>
      <c r="E74" s="382"/>
      <c r="F74" s="382"/>
      <c r="G74" s="382"/>
      <c r="H74" s="382"/>
      <c r="I74" s="382"/>
      <c r="J74" s="382"/>
      <c r="K74" s="382"/>
      <c r="L74" s="382"/>
      <c r="M74" s="382"/>
      <c r="N74" s="382"/>
    </row>
    <row r="75" spans="1:14" x14ac:dyDescent="0.25">
      <c r="A75" s="4"/>
      <c r="B75" s="382" t="s">
        <v>82</v>
      </c>
      <c r="C75" s="382"/>
      <c r="D75" s="382"/>
      <c r="E75" s="382"/>
      <c r="F75" s="382"/>
      <c r="G75" s="382"/>
      <c r="H75" s="382"/>
      <c r="I75" s="382"/>
      <c r="J75" s="382"/>
      <c r="K75" s="382"/>
      <c r="L75" s="382"/>
      <c r="M75" s="382"/>
      <c r="N75" s="382"/>
    </row>
    <row r="76" spans="1:14" x14ac:dyDescent="0.25">
      <c r="A76" s="4"/>
      <c r="B76" s="58"/>
      <c r="C76" s="58"/>
      <c r="D76" s="58"/>
      <c r="E76" s="58"/>
      <c r="F76" s="58"/>
      <c r="G76" s="17"/>
      <c r="H76" s="17"/>
      <c r="I76" s="17"/>
      <c r="J76" s="17"/>
      <c r="K76" s="17"/>
      <c r="L76" s="17"/>
      <c r="M76" s="17"/>
      <c r="N76" s="17"/>
    </row>
    <row r="77" spans="1:14" x14ac:dyDescent="0.25">
      <c r="A77" s="13">
        <v>13</v>
      </c>
      <c r="B77" s="338" t="s">
        <v>83</v>
      </c>
      <c r="C77" s="339"/>
      <c r="D77" s="339"/>
      <c r="E77" s="339"/>
      <c r="F77" s="339"/>
      <c r="G77" s="340"/>
      <c r="H77" s="15"/>
      <c r="I77" s="15"/>
      <c r="J77" s="15"/>
      <c r="K77" s="15"/>
      <c r="L77" s="15"/>
      <c r="M77" s="15"/>
      <c r="N77" s="15"/>
    </row>
    <row r="78" spans="1:14" x14ac:dyDescent="0.25">
      <c r="A78" s="13"/>
      <c r="C78" s="19"/>
      <c r="D78" s="19"/>
      <c r="E78" s="19"/>
      <c r="F78" s="19"/>
      <c r="G78" s="19"/>
      <c r="H78" s="19"/>
      <c r="I78" s="19"/>
      <c r="J78" s="19"/>
      <c r="K78" s="19"/>
      <c r="L78" s="19"/>
      <c r="M78" s="19"/>
      <c r="N78" s="19"/>
    </row>
    <row r="79" spans="1:14" ht="76.5" x14ac:dyDescent="0.25">
      <c r="A79" s="4"/>
      <c r="B79" s="243" t="s">
        <v>84</v>
      </c>
      <c r="C79" s="245" t="s">
        <v>85</v>
      </c>
      <c r="D79" s="245" t="s">
        <v>86</v>
      </c>
      <c r="E79" s="245" t="s">
        <v>280</v>
      </c>
      <c r="F79" s="245" t="s">
        <v>88</v>
      </c>
      <c r="G79" s="245" t="s">
        <v>169</v>
      </c>
      <c r="H79" s="17"/>
      <c r="I79" s="17"/>
      <c r="J79" s="17"/>
      <c r="K79" s="17"/>
      <c r="L79" s="17"/>
      <c r="M79" s="17"/>
      <c r="N79" s="17"/>
    </row>
    <row r="80" spans="1:14" x14ac:dyDescent="0.2">
      <c r="A80" s="4"/>
      <c r="B80" s="316" t="s">
        <v>90</v>
      </c>
      <c r="C80" s="5" t="s">
        <v>894</v>
      </c>
      <c r="D80" s="91">
        <v>8.86</v>
      </c>
      <c r="E80" s="412" t="s">
        <v>897</v>
      </c>
      <c r="F80" s="412" t="s">
        <v>388</v>
      </c>
      <c r="G80" s="412" t="s">
        <v>282</v>
      </c>
      <c r="H80" s="62"/>
      <c r="I80" s="62"/>
      <c r="J80" s="62"/>
      <c r="K80" s="62"/>
      <c r="L80" s="62"/>
      <c r="M80" s="62"/>
      <c r="N80" s="62"/>
    </row>
    <row r="81" spans="1:14" x14ac:dyDescent="0.25">
      <c r="A81" s="4"/>
      <c r="B81" s="316"/>
      <c r="C81" s="5" t="s">
        <v>827</v>
      </c>
      <c r="D81" s="248"/>
      <c r="E81" s="413"/>
      <c r="F81" s="413"/>
      <c r="G81" s="413"/>
      <c r="H81" s="62"/>
      <c r="I81" s="62"/>
      <c r="J81" s="62"/>
      <c r="K81" s="62"/>
      <c r="L81" s="62"/>
      <c r="M81" s="62"/>
      <c r="N81" s="62"/>
    </row>
    <row r="82" spans="1:14" ht="25.5" x14ac:dyDescent="0.25">
      <c r="A82" s="4"/>
      <c r="B82" s="316"/>
      <c r="C82" s="25" t="s">
        <v>895</v>
      </c>
      <c r="D82" s="248">
        <v>1.48</v>
      </c>
      <c r="E82" s="413"/>
      <c r="F82" s="413"/>
      <c r="G82" s="413"/>
      <c r="H82" s="62"/>
      <c r="I82" s="62"/>
      <c r="J82" s="62"/>
      <c r="K82" s="62"/>
      <c r="L82" s="62"/>
      <c r="M82" s="62"/>
      <c r="N82" s="62"/>
    </row>
    <row r="83" spans="1:14" x14ac:dyDescent="0.25">
      <c r="A83" s="4"/>
      <c r="B83" s="316"/>
      <c r="C83" s="5" t="s">
        <v>93</v>
      </c>
      <c r="D83" s="164"/>
      <c r="E83" s="413"/>
      <c r="F83" s="413"/>
      <c r="G83" s="413"/>
      <c r="H83" s="62"/>
      <c r="I83" s="62"/>
      <c r="J83" s="62"/>
      <c r="K83" s="62"/>
      <c r="L83" s="62"/>
      <c r="M83" s="62"/>
      <c r="N83" s="62"/>
    </row>
    <row r="84" spans="1:14" x14ac:dyDescent="0.2">
      <c r="A84" s="4"/>
      <c r="B84" s="316" t="s">
        <v>94</v>
      </c>
      <c r="C84" s="5" t="s">
        <v>894</v>
      </c>
      <c r="D84" s="93">
        <v>11.51</v>
      </c>
      <c r="E84" s="413"/>
      <c r="F84" s="413"/>
      <c r="G84" s="413"/>
      <c r="H84" s="62"/>
      <c r="I84" s="62"/>
      <c r="J84" s="62"/>
      <c r="K84" s="62"/>
      <c r="L84" s="62"/>
      <c r="M84" s="62"/>
      <c r="N84" s="62"/>
    </row>
    <row r="85" spans="1:14" x14ac:dyDescent="0.25">
      <c r="A85" s="4"/>
      <c r="B85" s="316"/>
      <c r="C85" s="5" t="s">
        <v>92</v>
      </c>
      <c r="D85" s="248"/>
      <c r="E85" s="413"/>
      <c r="F85" s="413"/>
      <c r="G85" s="413"/>
      <c r="H85" s="62"/>
      <c r="I85" s="62"/>
      <c r="J85" s="62"/>
      <c r="K85" s="62"/>
      <c r="L85" s="62"/>
      <c r="M85" s="62"/>
      <c r="N85" s="62"/>
    </row>
    <row r="86" spans="1:14" ht="25.5" x14ac:dyDescent="0.25">
      <c r="A86" s="4"/>
      <c r="B86" s="316"/>
      <c r="C86" s="25" t="s">
        <v>895</v>
      </c>
      <c r="D86" s="248">
        <v>27.53</v>
      </c>
      <c r="E86" s="413"/>
      <c r="F86" s="413"/>
      <c r="G86" s="413"/>
      <c r="H86" s="62"/>
      <c r="I86" s="62"/>
      <c r="J86" s="62"/>
      <c r="K86" s="62"/>
      <c r="L86" s="62"/>
      <c r="M86" s="62"/>
      <c r="N86" s="62"/>
    </row>
    <row r="87" spans="1:14" x14ac:dyDescent="0.25">
      <c r="A87" s="4"/>
      <c r="B87" s="316"/>
      <c r="C87" s="5" t="s">
        <v>93</v>
      </c>
      <c r="D87" s="164"/>
      <c r="E87" s="413"/>
      <c r="F87" s="413"/>
      <c r="G87" s="413"/>
      <c r="H87" s="62"/>
      <c r="I87" s="62"/>
      <c r="J87" s="62"/>
      <c r="K87" s="62"/>
      <c r="L87" s="62"/>
      <c r="M87" s="62"/>
      <c r="N87" s="62"/>
    </row>
    <row r="88" spans="1:14" x14ac:dyDescent="0.2">
      <c r="A88" s="4"/>
      <c r="B88" s="316" t="s">
        <v>95</v>
      </c>
      <c r="C88" s="5" t="s">
        <v>894</v>
      </c>
      <c r="D88" s="114">
        <v>0.73109999999999997</v>
      </c>
      <c r="E88" s="413"/>
      <c r="F88" s="413"/>
      <c r="G88" s="413"/>
      <c r="H88" s="62"/>
      <c r="I88" s="62"/>
      <c r="J88" s="62"/>
      <c r="K88" s="62"/>
      <c r="L88" s="62"/>
      <c r="M88" s="62"/>
      <c r="N88" s="62"/>
    </row>
    <row r="89" spans="1:14" x14ac:dyDescent="0.25">
      <c r="A89" s="4"/>
      <c r="B89" s="316"/>
      <c r="C89" s="5" t="s">
        <v>92</v>
      </c>
      <c r="D89" s="248"/>
      <c r="E89" s="413"/>
      <c r="F89" s="413"/>
      <c r="G89" s="413"/>
      <c r="H89" s="62"/>
      <c r="I89" s="62"/>
      <c r="J89" s="62"/>
      <c r="K89" s="62"/>
      <c r="L89" s="62"/>
      <c r="M89" s="62"/>
      <c r="N89" s="62"/>
    </row>
    <row r="90" spans="1:14" ht="25.5" x14ac:dyDescent="0.2">
      <c r="A90" s="4"/>
      <c r="B90" s="316"/>
      <c r="C90" s="25" t="s">
        <v>895</v>
      </c>
      <c r="D90" s="114">
        <v>2.0299999999999999E-2</v>
      </c>
      <c r="E90" s="413"/>
      <c r="F90" s="413"/>
      <c r="G90" s="413"/>
      <c r="H90" s="62"/>
      <c r="I90" s="62"/>
      <c r="J90" s="62"/>
      <c r="K90" s="62"/>
      <c r="L90" s="62"/>
      <c r="M90" s="62"/>
      <c r="N90" s="62"/>
    </row>
    <row r="91" spans="1:14" x14ac:dyDescent="0.25">
      <c r="A91" s="4"/>
      <c r="B91" s="316"/>
      <c r="C91" s="5" t="s">
        <v>93</v>
      </c>
      <c r="D91" s="164"/>
      <c r="E91" s="413"/>
      <c r="F91" s="413"/>
      <c r="G91" s="413"/>
      <c r="H91" s="62"/>
      <c r="I91" s="62"/>
      <c r="J91" s="62"/>
      <c r="K91" s="66"/>
      <c r="L91" s="62"/>
      <c r="M91" s="62"/>
      <c r="N91" s="62"/>
    </row>
    <row r="92" spans="1:14" x14ac:dyDescent="0.2">
      <c r="A92" s="4"/>
      <c r="B92" s="316" t="s">
        <v>96</v>
      </c>
      <c r="C92" s="5" t="s">
        <v>894</v>
      </c>
      <c r="D92" s="91">
        <v>12.12</v>
      </c>
      <c r="E92" s="413"/>
      <c r="F92" s="413"/>
      <c r="G92" s="413"/>
      <c r="H92" s="62"/>
      <c r="I92" s="62"/>
      <c r="J92" s="62"/>
      <c r="K92" s="62"/>
      <c r="L92" s="62"/>
      <c r="M92" s="62"/>
      <c r="N92" s="62"/>
    </row>
    <row r="93" spans="1:14" x14ac:dyDescent="0.25">
      <c r="A93" s="4"/>
      <c r="B93" s="316"/>
      <c r="C93" s="5" t="s">
        <v>92</v>
      </c>
      <c r="D93" s="248"/>
      <c r="E93" s="413"/>
      <c r="F93" s="413"/>
      <c r="G93" s="413"/>
      <c r="H93" s="62"/>
      <c r="I93" s="62"/>
      <c r="J93" s="62"/>
      <c r="K93" s="62"/>
      <c r="L93" s="62"/>
      <c r="M93" s="62"/>
      <c r="N93" s="62"/>
    </row>
    <row r="94" spans="1:14" ht="25.5" x14ac:dyDescent="0.25">
      <c r="A94" s="4"/>
      <c r="B94" s="386"/>
      <c r="C94" s="25" t="s">
        <v>895</v>
      </c>
      <c r="D94" s="248">
        <v>70.239999999999995</v>
      </c>
      <c r="E94" s="413"/>
      <c r="F94" s="413"/>
      <c r="G94" s="413"/>
      <c r="H94" s="62"/>
      <c r="I94" s="62"/>
      <c r="J94" s="62"/>
      <c r="K94" s="62"/>
      <c r="L94" s="62"/>
      <c r="M94" s="62"/>
      <c r="N94" s="62"/>
    </row>
    <row r="95" spans="1:14" x14ac:dyDescent="0.25">
      <c r="A95" s="4"/>
      <c r="B95" s="386"/>
      <c r="C95" s="5" t="s">
        <v>93</v>
      </c>
      <c r="D95" s="92"/>
      <c r="E95" s="413"/>
      <c r="F95" s="413"/>
      <c r="G95" s="413"/>
      <c r="H95" s="62"/>
      <c r="I95" s="62"/>
      <c r="J95" s="62"/>
      <c r="K95" s="62"/>
      <c r="L95" s="62"/>
      <c r="M95" s="62"/>
      <c r="N95" s="62"/>
    </row>
    <row r="96" spans="1:14" s="57" customFormat="1" x14ac:dyDescent="0.25">
      <c r="B96" s="387"/>
      <c r="C96" s="388"/>
      <c r="D96" s="388"/>
      <c r="E96" s="388"/>
      <c r="F96" s="388"/>
      <c r="G96" s="389"/>
    </row>
    <row r="97" spans="1:14" x14ac:dyDescent="0.25">
      <c r="A97" s="4"/>
      <c r="B97" s="376" t="s">
        <v>896</v>
      </c>
      <c r="C97" s="377"/>
      <c r="D97" s="377"/>
      <c r="E97" s="377"/>
      <c r="F97" s="377"/>
      <c r="G97" s="378"/>
      <c r="H97" s="62"/>
      <c r="I97" s="62"/>
      <c r="J97" s="62"/>
      <c r="K97" s="62"/>
      <c r="L97" s="62"/>
      <c r="M97" s="62"/>
      <c r="N97" s="62"/>
    </row>
    <row r="98" spans="1:14" x14ac:dyDescent="0.25">
      <c r="A98" s="4"/>
      <c r="B98" s="379" t="s">
        <v>128</v>
      </c>
      <c r="C98" s="380"/>
      <c r="D98" s="380"/>
      <c r="E98" s="380"/>
      <c r="F98" s="380"/>
      <c r="G98" s="381"/>
      <c r="H98" s="62"/>
      <c r="I98" s="62"/>
      <c r="J98" s="62"/>
      <c r="K98" s="62"/>
      <c r="L98" s="62"/>
      <c r="M98" s="62"/>
      <c r="N98" s="62"/>
    </row>
    <row r="99" spans="1:14" x14ac:dyDescent="0.25">
      <c r="A99" s="4"/>
      <c r="B99" s="353"/>
      <c r="C99" s="354"/>
      <c r="D99" s="354"/>
      <c r="E99" s="354"/>
      <c r="F99" s="354"/>
      <c r="G99" s="355"/>
      <c r="H99" s="62"/>
      <c r="I99" s="62"/>
      <c r="J99" s="62"/>
      <c r="K99" s="62"/>
      <c r="L99" s="62"/>
      <c r="M99" s="62"/>
      <c r="N99" s="62"/>
    </row>
    <row r="100" spans="1:14" x14ac:dyDescent="0.25">
      <c r="B100" s="12"/>
      <c r="C100" s="323"/>
      <c r="D100" s="323"/>
      <c r="E100" s="323"/>
      <c r="F100" s="323"/>
      <c r="G100" s="323"/>
      <c r="H100" s="62"/>
      <c r="I100" s="62"/>
    </row>
    <row r="101" spans="1:14" x14ac:dyDescent="0.25">
      <c r="A101" s="13">
        <v>14</v>
      </c>
      <c r="B101" s="70" t="s">
        <v>99</v>
      </c>
      <c r="C101" s="324" t="s">
        <v>48</v>
      </c>
      <c r="D101" s="325"/>
      <c r="E101" s="325"/>
      <c r="F101" s="325"/>
      <c r="G101" s="326"/>
    </row>
    <row r="102" spans="1:14" x14ac:dyDescent="0.25">
      <c r="A102" s="253"/>
      <c r="C102" s="84"/>
      <c r="D102" s="84"/>
      <c r="E102" s="84"/>
      <c r="F102" s="84"/>
      <c r="G102" s="84"/>
    </row>
    <row r="103" spans="1:14" x14ac:dyDescent="0.25">
      <c r="C103" s="84"/>
      <c r="D103" s="84"/>
      <c r="E103" s="84"/>
      <c r="F103" s="84"/>
      <c r="G103" s="84"/>
    </row>
    <row r="105" spans="1:14" x14ac:dyDescent="0.25">
      <c r="B105" s="374" t="s">
        <v>945</v>
      </c>
      <c r="C105" s="375"/>
      <c r="D105" s="375"/>
      <c r="E105" s="375"/>
      <c r="F105" s="375"/>
      <c r="G105" s="375"/>
      <c r="H105" s="375"/>
    </row>
    <row r="110" spans="1:14" x14ac:dyDescent="0.25">
      <c r="D110" s="242"/>
      <c r="E110" s="242"/>
    </row>
    <row r="111" spans="1:14" x14ac:dyDescent="0.25">
      <c r="E111" s="242"/>
    </row>
  </sheetData>
  <sheetProtection password="DB00" sheet="1" objects="1" scenarios="1"/>
  <mergeCells count="64">
    <mergeCell ref="C21:E21"/>
    <mergeCell ref="A1:B1"/>
    <mergeCell ref="C5:E5"/>
    <mergeCell ref="B6:D6"/>
    <mergeCell ref="B9:D9"/>
    <mergeCell ref="C11:E11"/>
    <mergeCell ref="B12:D12"/>
    <mergeCell ref="B15:C15"/>
    <mergeCell ref="B17:E17"/>
    <mergeCell ref="C18:E18"/>
    <mergeCell ref="C19:E19"/>
    <mergeCell ref="C20:E20"/>
    <mergeCell ref="C22:E22"/>
    <mergeCell ref="B23:E23"/>
    <mergeCell ref="B26:E26"/>
    <mergeCell ref="B27:E27"/>
    <mergeCell ref="D29:D32"/>
    <mergeCell ref="E29:E32"/>
    <mergeCell ref="B54:B55"/>
    <mergeCell ref="C54:E55"/>
    <mergeCell ref="B33:E33"/>
    <mergeCell ref="B35:E35"/>
    <mergeCell ref="B39:C39"/>
    <mergeCell ref="B42:E42"/>
    <mergeCell ref="C43:E43"/>
    <mergeCell ref="C44:E44"/>
    <mergeCell ref="C45:E45"/>
    <mergeCell ref="B46:E46"/>
    <mergeCell ref="B48:E48"/>
    <mergeCell ref="B51:E51"/>
    <mergeCell ref="B53:E53"/>
    <mergeCell ref="C56:E56"/>
    <mergeCell ref="C57:E57"/>
    <mergeCell ref="B58:E58"/>
    <mergeCell ref="B59:E59"/>
    <mergeCell ref="C61:E61"/>
    <mergeCell ref="B88:B91"/>
    <mergeCell ref="B92:B95"/>
    <mergeCell ref="F67:H67"/>
    <mergeCell ref="I67:K67"/>
    <mergeCell ref="L67:N67"/>
    <mergeCell ref="B71:N71"/>
    <mergeCell ref="B72:N72"/>
    <mergeCell ref="B73:N73"/>
    <mergeCell ref="B67:B68"/>
    <mergeCell ref="C67:C68"/>
    <mergeCell ref="D67:D68"/>
    <mergeCell ref="E67:E68"/>
    <mergeCell ref="B105:H105"/>
    <mergeCell ref="C29:C32"/>
    <mergeCell ref="E80:E95"/>
    <mergeCell ref="B96:G96"/>
    <mergeCell ref="B97:G97"/>
    <mergeCell ref="B98:G98"/>
    <mergeCell ref="B99:G99"/>
    <mergeCell ref="C100:G100"/>
    <mergeCell ref="C101:G101"/>
    <mergeCell ref="B74:N74"/>
    <mergeCell ref="B75:N75"/>
    <mergeCell ref="B77:G77"/>
    <mergeCell ref="B80:B83"/>
    <mergeCell ref="F80:F95"/>
    <mergeCell ref="G80:G95"/>
    <mergeCell ref="B84:B8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topLeftCell="A24" workbookViewId="0">
      <selection activeCell="B28" sqref="B28"/>
    </sheetView>
  </sheetViews>
  <sheetFormatPr defaultColWidth="8.85546875" defaultRowHeight="12.75" x14ac:dyDescent="0.25"/>
  <cols>
    <col min="1" max="1" width="8.85546875" style="73"/>
    <col min="2" max="2" width="40.28515625" style="73" customWidth="1"/>
    <col min="3" max="3" width="41.140625" style="73" customWidth="1"/>
    <col min="4" max="4" width="15.85546875" style="73" customWidth="1"/>
    <col min="5" max="5" width="16.57031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175</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5</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131</v>
      </c>
      <c r="D8" s="9"/>
      <c r="E8" s="12"/>
      <c r="F8" s="12"/>
      <c r="G8" s="12"/>
      <c r="H8" s="12"/>
      <c r="I8" s="12"/>
      <c r="J8" s="12"/>
      <c r="K8" s="12"/>
      <c r="L8" s="12"/>
      <c r="M8" s="12"/>
      <c r="N8" s="12"/>
    </row>
    <row r="9" spans="1:25" ht="16.149999999999999" customHeight="1" x14ac:dyDescent="0.25">
      <c r="A9" s="13"/>
      <c r="B9" s="382" t="s">
        <v>6</v>
      </c>
      <c r="C9" s="382"/>
      <c r="D9" s="38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176</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155</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I22" s="17"/>
      <c r="J22" s="17"/>
      <c r="K22" s="17"/>
      <c r="L22" s="17"/>
      <c r="M22" s="17"/>
      <c r="N22" s="17"/>
    </row>
    <row r="23" spans="1:14" x14ac:dyDescent="0.25">
      <c r="A23" s="13"/>
      <c r="B23" s="382" t="s">
        <v>21</v>
      </c>
      <c r="C23" s="382"/>
      <c r="D23" s="382"/>
      <c r="E23" s="382"/>
      <c r="F23" s="19"/>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25</v>
      </c>
      <c r="D28" s="22" t="s">
        <v>26</v>
      </c>
      <c r="E28" s="22" t="s">
        <v>27</v>
      </c>
      <c r="F28" s="19"/>
      <c r="G28" s="26"/>
      <c r="H28" s="26"/>
      <c r="I28" s="26"/>
      <c r="J28" s="26"/>
      <c r="K28" s="26"/>
      <c r="L28" s="26"/>
      <c r="M28" s="26"/>
      <c r="N28" s="26"/>
    </row>
    <row r="29" spans="1:14" x14ac:dyDescent="0.25">
      <c r="A29" s="13"/>
      <c r="B29" s="23" t="s">
        <v>28</v>
      </c>
      <c r="C29" s="24">
        <v>7440.94</v>
      </c>
      <c r="D29" s="24">
        <v>8616.11</v>
      </c>
      <c r="E29" s="25">
        <v>9758.4</v>
      </c>
      <c r="F29" s="19"/>
      <c r="G29" s="26"/>
      <c r="H29" s="26"/>
      <c r="I29" s="26"/>
      <c r="J29" s="26"/>
      <c r="K29" s="26"/>
      <c r="L29" s="26"/>
      <c r="M29" s="26"/>
      <c r="N29" s="26"/>
    </row>
    <row r="30" spans="1:14" x14ac:dyDescent="0.25">
      <c r="A30" s="13"/>
      <c r="B30" s="23" t="s">
        <v>29</v>
      </c>
      <c r="C30" s="24">
        <v>187.66</v>
      </c>
      <c r="D30" s="24">
        <v>303.64999999999998</v>
      </c>
      <c r="E30" s="25">
        <v>458.51</v>
      </c>
      <c r="F30" s="19"/>
      <c r="H30" s="26"/>
      <c r="I30" s="26"/>
      <c r="J30" s="26"/>
      <c r="K30" s="26"/>
      <c r="L30" s="26"/>
      <c r="M30" s="26"/>
      <c r="N30" s="26"/>
    </row>
    <row r="31" spans="1:14" x14ac:dyDescent="0.25">
      <c r="A31" s="13"/>
      <c r="B31" s="23" t="s">
        <v>30</v>
      </c>
      <c r="C31" s="24">
        <v>811</v>
      </c>
      <c r="D31" s="24">
        <v>811</v>
      </c>
      <c r="E31" s="25">
        <v>811</v>
      </c>
      <c r="H31" s="26"/>
      <c r="I31" s="26"/>
      <c r="J31" s="26"/>
      <c r="K31" s="26"/>
      <c r="L31" s="26"/>
      <c r="M31" s="26"/>
      <c r="N31" s="26"/>
    </row>
    <row r="32" spans="1:14" x14ac:dyDescent="0.25">
      <c r="A32" s="13"/>
      <c r="B32" s="23" t="s">
        <v>31</v>
      </c>
      <c r="C32" s="24">
        <v>287.14</v>
      </c>
      <c r="D32" s="24">
        <v>590.79</v>
      </c>
      <c r="E32" s="25">
        <v>1049.3</v>
      </c>
      <c r="F32" s="26"/>
      <c r="H32" s="26"/>
      <c r="I32" s="26"/>
      <c r="J32" s="26"/>
      <c r="K32" s="26"/>
      <c r="L32" s="26"/>
      <c r="M32" s="26"/>
      <c r="N32" s="26"/>
    </row>
    <row r="33" spans="1:14" x14ac:dyDescent="0.25">
      <c r="A33" s="13"/>
      <c r="B33" s="353" t="s">
        <v>177</v>
      </c>
      <c r="C33" s="354"/>
      <c r="D33" s="354"/>
      <c r="E33" s="355"/>
      <c r="F33" s="26"/>
      <c r="H33" s="26"/>
      <c r="I33" s="26"/>
      <c r="J33" s="26"/>
      <c r="K33" s="26"/>
      <c r="L33" s="26"/>
      <c r="M33" s="26"/>
      <c r="N33" s="26"/>
    </row>
    <row r="34" spans="1:14" x14ac:dyDescent="0.25">
      <c r="A34" s="13"/>
      <c r="B34" s="17"/>
      <c r="C34" s="19"/>
      <c r="D34" s="19"/>
      <c r="E34" s="19"/>
      <c r="F34" s="26"/>
      <c r="H34" s="26"/>
      <c r="I34" s="26"/>
      <c r="J34" s="26"/>
      <c r="K34" s="26"/>
      <c r="L34" s="26"/>
      <c r="M34" s="26"/>
      <c r="N34" s="26"/>
    </row>
    <row r="35" spans="1:14" x14ac:dyDescent="0.25">
      <c r="A35" s="13">
        <v>7</v>
      </c>
      <c r="B35" s="333" t="s">
        <v>33</v>
      </c>
      <c r="C35" s="333"/>
      <c r="D35" s="333"/>
      <c r="E35" s="333"/>
      <c r="F35" s="26"/>
      <c r="H35" s="15"/>
      <c r="I35" s="15"/>
      <c r="J35" s="15"/>
      <c r="K35" s="26"/>
      <c r="L35" s="26"/>
      <c r="M35" s="26"/>
      <c r="N35" s="26"/>
    </row>
    <row r="36" spans="1:14" x14ac:dyDescent="0.25">
      <c r="A36" s="13"/>
      <c r="B36" s="21" t="s">
        <v>34</v>
      </c>
      <c r="C36" s="24" t="s">
        <v>35</v>
      </c>
      <c r="D36" s="17"/>
      <c r="E36" s="17"/>
      <c r="F36" s="15"/>
      <c r="H36" s="26"/>
      <c r="I36" s="26"/>
      <c r="J36" s="26"/>
      <c r="K36" s="26"/>
      <c r="L36" s="26"/>
      <c r="M36" s="26"/>
      <c r="N36" s="26"/>
    </row>
    <row r="37" spans="1:14" x14ac:dyDescent="0.25">
      <c r="A37" s="13"/>
      <c r="B37" s="21" t="s">
        <v>36</v>
      </c>
      <c r="C37" s="24" t="s">
        <v>35</v>
      </c>
      <c r="D37" s="17"/>
      <c r="E37" s="17"/>
      <c r="F37" s="26"/>
      <c r="H37" s="26"/>
      <c r="I37" s="26"/>
      <c r="J37" s="26"/>
      <c r="K37" s="26"/>
      <c r="L37" s="26"/>
      <c r="M37" s="26"/>
      <c r="N37" s="26"/>
    </row>
    <row r="38" spans="1:14" x14ac:dyDescent="0.25">
      <c r="A38" s="13"/>
      <c r="B38" s="27" t="s">
        <v>37</v>
      </c>
      <c r="C38" s="24" t="s">
        <v>35</v>
      </c>
      <c r="D38" s="17"/>
      <c r="E38" s="17"/>
      <c r="F38" s="26"/>
      <c r="H38" s="26"/>
      <c r="I38" s="26"/>
      <c r="J38" s="26"/>
      <c r="K38" s="26"/>
      <c r="L38" s="26"/>
      <c r="M38" s="26"/>
      <c r="N38" s="26"/>
    </row>
    <row r="39" spans="1:14" x14ac:dyDescent="0.25">
      <c r="A39" s="13"/>
      <c r="B39" s="382" t="s">
        <v>21</v>
      </c>
      <c r="C39" s="382"/>
      <c r="D39" s="17"/>
      <c r="E39" s="17"/>
      <c r="F39" s="26"/>
      <c r="H39" s="26"/>
      <c r="I39" s="26"/>
      <c r="J39" s="26"/>
      <c r="K39" s="26"/>
      <c r="L39" s="26"/>
      <c r="M39" s="26"/>
      <c r="N39" s="26"/>
    </row>
    <row r="40" spans="1:14" x14ac:dyDescent="0.25">
      <c r="A40" s="13"/>
      <c r="B40" s="74"/>
      <c r="C40" s="17"/>
      <c r="D40" s="17"/>
      <c r="E40" s="17"/>
      <c r="H40" s="26"/>
      <c r="I40" s="26"/>
      <c r="J40" s="26"/>
      <c r="K40" s="26"/>
      <c r="L40" s="26"/>
      <c r="M40" s="26"/>
      <c r="N40" s="26"/>
    </row>
    <row r="41" spans="1:14" x14ac:dyDescent="0.25">
      <c r="A41" s="13"/>
      <c r="B41" s="19"/>
      <c r="C41" s="17"/>
      <c r="D41" s="17"/>
      <c r="E41" s="17"/>
      <c r="H41" s="26"/>
      <c r="I41" s="26"/>
      <c r="J41" s="26"/>
      <c r="K41" s="26"/>
      <c r="L41" s="26"/>
      <c r="M41" s="26"/>
      <c r="N41" s="26"/>
    </row>
    <row r="42" spans="1:14" x14ac:dyDescent="0.25">
      <c r="A42" s="13">
        <v>8</v>
      </c>
      <c r="B42" s="333" t="s">
        <v>38</v>
      </c>
      <c r="C42" s="333"/>
      <c r="D42" s="333"/>
      <c r="E42" s="333"/>
      <c r="F42" s="26"/>
      <c r="G42" s="15"/>
      <c r="H42" s="15"/>
      <c r="I42" s="15"/>
      <c r="J42" s="15"/>
      <c r="K42" s="26"/>
      <c r="L42" s="26"/>
      <c r="M42" s="26"/>
      <c r="N42" s="26"/>
    </row>
    <row r="43" spans="1:14" x14ac:dyDescent="0.25">
      <c r="A43" s="13"/>
      <c r="B43" s="21" t="s">
        <v>39</v>
      </c>
      <c r="C43" s="350" t="s">
        <v>178</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51" x14ac:dyDescent="0.25">
      <c r="A49" s="29"/>
      <c r="B49" s="31" t="s">
        <v>42</v>
      </c>
      <c r="C49" s="32" t="s">
        <v>43</v>
      </c>
      <c r="D49" s="33" t="s">
        <v>44</v>
      </c>
      <c r="E49" s="32" t="s">
        <v>45</v>
      </c>
      <c r="F49" s="26"/>
      <c r="G49" s="26"/>
      <c r="H49" s="26"/>
      <c r="I49" s="26"/>
      <c r="J49" s="26"/>
      <c r="K49" s="26"/>
      <c r="L49" s="26"/>
      <c r="M49" s="26"/>
    </row>
    <row r="50" spans="1:14" ht="51" x14ac:dyDescent="0.25">
      <c r="A50" s="34"/>
      <c r="B50" s="35" t="s">
        <v>179</v>
      </c>
      <c r="C50" s="35" t="s">
        <v>180</v>
      </c>
      <c r="D50" s="94" t="s">
        <v>181</v>
      </c>
      <c r="E50" s="6" t="s">
        <v>48</v>
      </c>
      <c r="F50" s="26"/>
      <c r="G50" s="26"/>
      <c r="H50" s="26"/>
      <c r="I50" s="26"/>
      <c r="J50" s="26"/>
      <c r="K50" s="26"/>
      <c r="L50" s="26"/>
      <c r="M50" s="26"/>
    </row>
    <row r="51" spans="1:14" x14ac:dyDescent="0.25">
      <c r="A51" s="36"/>
      <c r="B51" s="406" t="s">
        <v>182</v>
      </c>
      <c r="C51" s="407"/>
      <c r="D51" s="407"/>
      <c r="E51" s="408"/>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49</v>
      </c>
      <c r="C53" s="356"/>
      <c r="D53" s="356"/>
      <c r="E53" s="356"/>
      <c r="F53" s="19"/>
      <c r="G53" s="19"/>
      <c r="H53" s="19"/>
      <c r="I53" s="26"/>
      <c r="J53" s="26"/>
      <c r="K53" s="26"/>
      <c r="L53" s="26"/>
      <c r="M53" s="26"/>
    </row>
    <row r="54" spans="1:14" x14ac:dyDescent="0.2">
      <c r="A54" s="34"/>
      <c r="B54" s="357" t="s">
        <v>50</v>
      </c>
      <c r="C54" s="360" t="s">
        <v>183</v>
      </c>
      <c r="D54" s="361"/>
      <c r="E54" s="362"/>
      <c r="F54" s="26"/>
      <c r="G54" s="26"/>
      <c r="H54" s="26"/>
      <c r="I54" s="26"/>
      <c r="J54" s="26"/>
      <c r="K54" s="2"/>
      <c r="L54" s="26"/>
      <c r="M54" s="26"/>
    </row>
    <row r="55" spans="1:14" x14ac:dyDescent="0.2">
      <c r="A55" s="34"/>
      <c r="B55" s="358"/>
      <c r="C55" s="360" t="s">
        <v>184</v>
      </c>
      <c r="D55" s="361"/>
      <c r="E55" s="362"/>
      <c r="F55" s="26"/>
      <c r="G55" s="26"/>
      <c r="H55" s="26"/>
      <c r="I55" s="26"/>
      <c r="J55" s="26"/>
      <c r="K55" s="2"/>
      <c r="L55" s="26"/>
      <c r="M55" s="26"/>
    </row>
    <row r="56" spans="1:14" x14ac:dyDescent="0.25">
      <c r="A56" s="34"/>
      <c r="B56" s="359"/>
      <c r="C56" s="341" t="s">
        <v>185</v>
      </c>
      <c r="D56" s="342"/>
      <c r="E56" s="343"/>
      <c r="F56" s="26"/>
      <c r="G56" s="26"/>
      <c r="H56" s="26"/>
      <c r="I56" s="26"/>
      <c r="J56" s="26"/>
      <c r="K56" s="2"/>
      <c r="L56" s="26"/>
      <c r="M56" s="26"/>
    </row>
    <row r="57" spans="1:14" x14ac:dyDescent="0.25">
      <c r="A57" s="29"/>
      <c r="B57" s="39" t="s">
        <v>54</v>
      </c>
      <c r="C57" s="341" t="s">
        <v>181</v>
      </c>
      <c r="D57" s="342"/>
      <c r="E57" s="343"/>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403"/>
      <c r="C59" s="404"/>
      <c r="D59" s="404"/>
      <c r="E59" s="405"/>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186</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187</v>
      </c>
      <c r="D69" s="372" t="s">
        <v>188</v>
      </c>
      <c r="E69" s="336" t="s">
        <v>189</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75</v>
      </c>
      <c r="C71" s="53">
        <v>16</v>
      </c>
      <c r="D71" s="54">
        <v>15.75</v>
      </c>
      <c r="E71" s="54">
        <v>26</v>
      </c>
      <c r="F71" s="54">
        <v>38.5</v>
      </c>
      <c r="G71" s="54">
        <v>38.5</v>
      </c>
      <c r="H71" s="53">
        <v>15.5</v>
      </c>
      <c r="I71" s="53">
        <v>45</v>
      </c>
      <c r="J71" s="53">
        <v>49.5</v>
      </c>
      <c r="K71" s="53">
        <v>32.5</v>
      </c>
      <c r="L71" s="53">
        <v>56.89</v>
      </c>
      <c r="M71" s="53">
        <v>80</v>
      </c>
      <c r="N71" s="53">
        <v>44</v>
      </c>
    </row>
    <row r="72" spans="1:14" ht="25.5" x14ac:dyDescent="0.2">
      <c r="A72" s="4"/>
      <c r="B72" s="21" t="s">
        <v>76</v>
      </c>
      <c r="C72" s="55">
        <v>25201.9</v>
      </c>
      <c r="D72" s="55">
        <v>26785.55</v>
      </c>
      <c r="E72" s="78">
        <v>26117.85</v>
      </c>
      <c r="F72" s="53">
        <v>25341.86</v>
      </c>
      <c r="G72" s="53">
        <v>29094.61</v>
      </c>
      <c r="H72" s="53">
        <v>22494.61</v>
      </c>
      <c r="I72" s="53">
        <v>29620.5</v>
      </c>
      <c r="J72" s="53">
        <v>28334.25</v>
      </c>
      <c r="K72" s="53">
        <v>25262.21</v>
      </c>
      <c r="L72" s="54">
        <v>32968.68</v>
      </c>
      <c r="M72" s="54">
        <v>36443.980000000003</v>
      </c>
      <c r="N72" s="56">
        <v>29241.48</v>
      </c>
    </row>
    <row r="73" spans="1:14" x14ac:dyDescent="0.2">
      <c r="A73" s="4"/>
      <c r="B73" s="27" t="s">
        <v>190</v>
      </c>
      <c r="C73" s="55">
        <v>856.23</v>
      </c>
      <c r="D73" s="55">
        <v>834.21</v>
      </c>
      <c r="E73" s="55">
        <v>762.35</v>
      </c>
      <c r="F73" s="53">
        <v>767.86</v>
      </c>
      <c r="G73" s="53">
        <v>948</v>
      </c>
      <c r="H73" s="53">
        <v>731.23</v>
      </c>
      <c r="I73" s="54">
        <v>1288.8800000000001</v>
      </c>
      <c r="J73" s="53">
        <v>1280.57</v>
      </c>
      <c r="K73" s="53">
        <v>824.79</v>
      </c>
      <c r="L73" s="54" t="s">
        <v>48</v>
      </c>
      <c r="M73" s="54" t="s">
        <v>48</v>
      </c>
      <c r="N73" s="54" t="s">
        <v>48</v>
      </c>
    </row>
    <row r="74" spans="1:14" x14ac:dyDescent="0.25">
      <c r="A74" s="4"/>
      <c r="B74" s="331" t="s">
        <v>191</v>
      </c>
      <c r="C74" s="331"/>
      <c r="D74" s="331"/>
      <c r="E74" s="331"/>
      <c r="F74" s="331"/>
      <c r="G74" s="331"/>
      <c r="H74" s="331"/>
      <c r="I74" s="331"/>
      <c r="J74" s="331"/>
      <c r="K74" s="331"/>
      <c r="L74" s="331"/>
      <c r="M74" s="331"/>
      <c r="N74" s="331"/>
    </row>
    <row r="75" spans="1:14" ht="13.5" x14ac:dyDescent="0.25">
      <c r="A75" s="4"/>
      <c r="B75" s="383" t="s">
        <v>21</v>
      </c>
      <c r="C75" s="383"/>
      <c r="D75" s="383"/>
      <c r="E75" s="383"/>
      <c r="F75" s="383"/>
      <c r="G75" s="383"/>
      <c r="H75" s="383"/>
      <c r="I75" s="383"/>
      <c r="J75" s="383"/>
      <c r="K75" s="383"/>
      <c r="L75" s="383"/>
      <c r="M75" s="383"/>
      <c r="N75" s="383"/>
    </row>
    <row r="76" spans="1:14" x14ac:dyDescent="0.25">
      <c r="A76" s="4"/>
      <c r="B76" s="382" t="s">
        <v>79</v>
      </c>
      <c r="C76" s="382"/>
      <c r="D76" s="382"/>
      <c r="E76" s="382"/>
      <c r="F76" s="382"/>
      <c r="G76" s="382"/>
      <c r="H76" s="382"/>
      <c r="I76" s="382"/>
      <c r="J76" s="382"/>
      <c r="K76" s="382"/>
      <c r="L76" s="382"/>
      <c r="M76" s="382"/>
      <c r="N76" s="382"/>
    </row>
    <row r="77" spans="1:14" s="57" customFormat="1" x14ac:dyDescent="0.25">
      <c r="B77" s="382" t="s">
        <v>80</v>
      </c>
      <c r="C77" s="382"/>
      <c r="D77" s="382"/>
      <c r="E77" s="382"/>
      <c r="F77" s="382"/>
      <c r="G77" s="382"/>
      <c r="H77" s="382"/>
      <c r="I77" s="382"/>
      <c r="J77" s="382"/>
      <c r="K77" s="382"/>
      <c r="L77" s="382"/>
      <c r="M77" s="382"/>
      <c r="N77" s="382"/>
    </row>
    <row r="78" spans="1:14" x14ac:dyDescent="0.25">
      <c r="A78" s="4"/>
      <c r="B78" s="382" t="s">
        <v>117</v>
      </c>
      <c r="C78" s="382"/>
      <c r="D78" s="382"/>
      <c r="E78" s="382"/>
      <c r="F78" s="382"/>
      <c r="G78" s="382"/>
      <c r="H78" s="382"/>
      <c r="I78" s="382"/>
      <c r="J78" s="382"/>
      <c r="K78" s="382"/>
      <c r="L78" s="382"/>
      <c r="M78" s="382"/>
      <c r="N78" s="382"/>
    </row>
    <row r="79" spans="1:14" x14ac:dyDescent="0.25">
      <c r="A79" s="4"/>
      <c r="B79" s="382" t="s">
        <v>82</v>
      </c>
      <c r="C79" s="382"/>
      <c r="D79" s="382"/>
      <c r="E79" s="382"/>
      <c r="F79" s="382"/>
      <c r="G79" s="382"/>
      <c r="H79" s="382"/>
      <c r="I79" s="382"/>
      <c r="J79" s="382"/>
      <c r="K79" s="382"/>
      <c r="L79" s="382"/>
      <c r="M79" s="382"/>
      <c r="N79" s="382"/>
    </row>
    <row r="80" spans="1:14" x14ac:dyDescent="0.25">
      <c r="A80" s="4"/>
      <c r="B80" s="58"/>
      <c r="C80" s="58"/>
      <c r="D80" s="58"/>
      <c r="E80" s="58"/>
      <c r="F80" s="58"/>
      <c r="G80" s="17"/>
      <c r="H80" s="17"/>
      <c r="I80" s="17"/>
      <c r="J80" s="17"/>
      <c r="K80" s="17"/>
      <c r="L80" s="17"/>
      <c r="M80" s="17"/>
      <c r="N80" s="17"/>
    </row>
    <row r="81" spans="1:14" x14ac:dyDescent="0.25">
      <c r="A81" s="13">
        <v>13</v>
      </c>
      <c r="B81" s="338" t="s">
        <v>83</v>
      </c>
      <c r="C81" s="339"/>
      <c r="D81" s="339"/>
      <c r="E81" s="339"/>
      <c r="F81" s="339"/>
      <c r="G81" s="340"/>
      <c r="H81" s="15"/>
      <c r="I81" s="15"/>
      <c r="J81" s="15"/>
      <c r="K81" s="15"/>
      <c r="L81" s="15"/>
      <c r="M81" s="15"/>
      <c r="N81" s="15"/>
    </row>
    <row r="82" spans="1:14" x14ac:dyDescent="0.25">
      <c r="A82" s="13"/>
      <c r="B82" s="26"/>
      <c r="C82" s="19"/>
      <c r="D82" s="19"/>
      <c r="E82" s="19"/>
      <c r="F82" s="19"/>
      <c r="G82" s="19"/>
      <c r="H82" s="19"/>
      <c r="I82" s="19"/>
      <c r="J82" s="19"/>
      <c r="K82" s="19"/>
      <c r="L82" s="19"/>
      <c r="M82" s="19"/>
      <c r="N82" s="19"/>
    </row>
    <row r="83" spans="1:14" ht="102" x14ac:dyDescent="0.25">
      <c r="A83" s="4"/>
      <c r="B83" s="59" t="s">
        <v>84</v>
      </c>
      <c r="C83" s="22" t="s">
        <v>85</v>
      </c>
      <c r="D83" s="22" t="s">
        <v>86</v>
      </c>
      <c r="E83" s="22" t="s">
        <v>87</v>
      </c>
      <c r="F83" s="22" t="s">
        <v>88</v>
      </c>
      <c r="G83" s="22" t="s">
        <v>192</v>
      </c>
      <c r="H83" s="17"/>
      <c r="I83" s="17"/>
      <c r="J83" s="17"/>
      <c r="K83" s="17"/>
      <c r="L83" s="17"/>
      <c r="M83" s="17"/>
      <c r="N83" s="17"/>
    </row>
    <row r="84" spans="1:14" ht="12.75" customHeight="1" x14ac:dyDescent="0.2">
      <c r="A84" s="4"/>
      <c r="B84" s="316" t="s">
        <v>90</v>
      </c>
      <c r="C84" s="5" t="s">
        <v>193</v>
      </c>
      <c r="D84" s="79">
        <v>3.21</v>
      </c>
      <c r="E84" s="61">
        <v>2.6</v>
      </c>
      <c r="F84" s="80">
        <v>3.74</v>
      </c>
      <c r="G84" s="80">
        <v>5.65</v>
      </c>
      <c r="H84" s="62"/>
      <c r="I84" s="62"/>
      <c r="J84" s="62"/>
      <c r="K84" s="62"/>
      <c r="L84" s="62"/>
      <c r="M84" s="62"/>
      <c r="N84" s="62"/>
    </row>
    <row r="85" spans="1:14" x14ac:dyDescent="0.25">
      <c r="A85" s="4"/>
      <c r="B85" s="316"/>
      <c r="C85" s="5" t="s">
        <v>92</v>
      </c>
      <c r="D85" s="63"/>
      <c r="E85" s="61"/>
      <c r="F85" s="80"/>
      <c r="G85" s="80"/>
      <c r="H85" s="62"/>
      <c r="I85" s="62"/>
      <c r="J85" s="62"/>
      <c r="K85" s="62"/>
      <c r="L85" s="62"/>
      <c r="M85" s="62"/>
      <c r="N85" s="62"/>
    </row>
    <row r="86" spans="1:14" x14ac:dyDescent="0.2">
      <c r="A86" s="4"/>
      <c r="B86" s="316"/>
      <c r="C86" s="82" t="s">
        <v>194</v>
      </c>
      <c r="D86" s="63">
        <v>2.5</v>
      </c>
      <c r="E86" s="61">
        <v>3.66</v>
      </c>
      <c r="F86" s="80">
        <v>3.91</v>
      </c>
      <c r="G86" s="80">
        <v>4.4000000000000004</v>
      </c>
      <c r="H86" s="62"/>
      <c r="I86" s="62"/>
      <c r="J86" s="62"/>
      <c r="K86" s="62"/>
      <c r="L86" s="62"/>
      <c r="M86" s="62"/>
      <c r="N86" s="62"/>
    </row>
    <row r="87" spans="1:14" x14ac:dyDescent="0.2">
      <c r="A87" s="4"/>
      <c r="B87" s="316"/>
      <c r="C87" s="82" t="s">
        <v>195</v>
      </c>
      <c r="D87" s="63">
        <v>14.4</v>
      </c>
      <c r="E87" s="81" t="s">
        <v>196</v>
      </c>
      <c r="F87" s="80">
        <v>-72.239999999999995</v>
      </c>
      <c r="G87" s="80"/>
      <c r="H87" s="62"/>
      <c r="I87" s="62"/>
      <c r="J87" s="62"/>
      <c r="K87" s="62"/>
      <c r="L87" s="62"/>
      <c r="M87" s="62"/>
      <c r="N87" s="62"/>
    </row>
    <row r="88" spans="1:14" x14ac:dyDescent="0.2">
      <c r="A88" s="4"/>
      <c r="B88" s="316"/>
      <c r="C88" s="82" t="s">
        <v>197</v>
      </c>
      <c r="D88" s="63">
        <v>9.8000000000000007</v>
      </c>
      <c r="E88" s="61">
        <v>14.51</v>
      </c>
      <c r="F88" s="80">
        <v>16.28</v>
      </c>
      <c r="G88" s="80">
        <v>14.98</v>
      </c>
      <c r="H88" s="62"/>
      <c r="I88" s="62"/>
      <c r="J88" s="62"/>
      <c r="K88" s="62"/>
      <c r="L88" s="62"/>
      <c r="M88" s="62"/>
      <c r="N88" s="62"/>
    </row>
    <row r="89" spans="1:14" x14ac:dyDescent="0.2">
      <c r="A89" s="4"/>
      <c r="B89" s="316"/>
      <c r="C89" s="5" t="s">
        <v>93</v>
      </c>
      <c r="D89" s="79">
        <v>8.9</v>
      </c>
      <c r="E89" s="64">
        <f>E86+E88/2</f>
        <v>10.914999999999999</v>
      </c>
      <c r="F89" s="80"/>
      <c r="G89" s="80"/>
      <c r="H89" s="62"/>
      <c r="I89" s="62"/>
      <c r="J89" s="62"/>
      <c r="K89" s="62"/>
      <c r="L89" s="62"/>
      <c r="M89" s="62"/>
      <c r="N89" s="62"/>
    </row>
    <row r="90" spans="1:14" x14ac:dyDescent="0.2">
      <c r="A90" s="4"/>
      <c r="B90" s="316" t="s">
        <v>94</v>
      </c>
      <c r="C90" s="5" t="s">
        <v>193</v>
      </c>
      <c r="D90" s="79">
        <v>4.68</v>
      </c>
      <c r="E90" s="61">
        <v>14.81</v>
      </c>
      <c r="F90" s="80">
        <v>12.03</v>
      </c>
      <c r="G90" s="85">
        <f>56.85/5.65</f>
        <v>10.061946902654867</v>
      </c>
      <c r="H90" s="62"/>
      <c r="I90" s="62"/>
      <c r="J90" s="62"/>
      <c r="K90" s="62"/>
      <c r="L90" s="62"/>
      <c r="M90" s="62"/>
      <c r="N90" s="62"/>
    </row>
    <row r="91" spans="1:14" x14ac:dyDescent="0.2">
      <c r="A91" s="4"/>
      <c r="B91" s="316"/>
      <c r="C91" s="5" t="s">
        <v>92</v>
      </c>
      <c r="D91" s="79"/>
      <c r="E91" s="61"/>
      <c r="F91" s="80"/>
      <c r="G91" s="80"/>
      <c r="H91" s="62"/>
      <c r="I91" s="62"/>
      <c r="J91" s="62"/>
      <c r="K91" s="62"/>
      <c r="L91" s="62"/>
      <c r="M91" s="62"/>
      <c r="N91" s="62"/>
    </row>
    <row r="92" spans="1:14" x14ac:dyDescent="0.2">
      <c r="A92" s="4"/>
      <c r="B92" s="316"/>
      <c r="C92" s="82" t="s">
        <v>194</v>
      </c>
      <c r="D92" s="79">
        <v>13.9</v>
      </c>
      <c r="E92" s="61">
        <v>15.35</v>
      </c>
      <c r="F92" s="80">
        <v>14.96</v>
      </c>
      <c r="G92" s="85">
        <f>81.25/4.4</f>
        <v>18.46590909090909</v>
      </c>
      <c r="H92" s="62"/>
      <c r="I92" s="62"/>
      <c r="J92" s="62"/>
      <c r="K92" s="62"/>
      <c r="L92" s="62"/>
      <c r="M92" s="62"/>
      <c r="N92" s="62"/>
    </row>
    <row r="93" spans="1:14" x14ac:dyDescent="0.2">
      <c r="A93" s="4"/>
      <c r="B93" s="316"/>
      <c r="C93" s="82" t="s">
        <v>195</v>
      </c>
      <c r="D93" s="83">
        <v>16.100000000000001</v>
      </c>
      <c r="E93" s="81" t="s">
        <v>123</v>
      </c>
      <c r="F93" s="81" t="s">
        <v>196</v>
      </c>
      <c r="G93" s="81"/>
      <c r="H93" s="62"/>
      <c r="I93" s="62"/>
      <c r="J93" s="62"/>
      <c r="K93" s="62"/>
      <c r="L93" s="62"/>
      <c r="M93" s="62"/>
      <c r="N93" s="62"/>
    </row>
    <row r="94" spans="1:14" x14ac:dyDescent="0.2">
      <c r="A94" s="4"/>
      <c r="B94" s="316"/>
      <c r="C94" s="82" t="s">
        <v>197</v>
      </c>
      <c r="D94" s="79">
        <v>10.6</v>
      </c>
      <c r="E94" s="61">
        <v>8.3699999999999992</v>
      </c>
      <c r="F94" s="80">
        <v>10.68</v>
      </c>
      <c r="G94" s="85">
        <f>162.4/14.98</f>
        <v>10.841121495327103</v>
      </c>
      <c r="H94" s="62"/>
      <c r="I94" s="62"/>
      <c r="J94" s="62"/>
      <c r="K94" s="62"/>
      <c r="L94" s="62"/>
      <c r="M94" s="62"/>
      <c r="N94" s="62"/>
    </row>
    <row r="95" spans="1:14" x14ac:dyDescent="0.2">
      <c r="A95" s="4"/>
      <c r="B95" s="316"/>
      <c r="C95" s="5" t="s">
        <v>93</v>
      </c>
      <c r="D95" s="79">
        <v>13.53</v>
      </c>
      <c r="E95" s="61">
        <f>E92+E94/2</f>
        <v>19.535</v>
      </c>
      <c r="F95" s="80"/>
      <c r="G95" s="80"/>
      <c r="H95" s="62"/>
      <c r="I95" s="62"/>
      <c r="J95" s="62"/>
      <c r="K95" s="62"/>
      <c r="L95" s="62"/>
      <c r="M95" s="62"/>
      <c r="N95" s="62"/>
    </row>
    <row r="96" spans="1:14" x14ac:dyDescent="0.2">
      <c r="A96" s="4"/>
      <c r="B96" s="316" t="s">
        <v>95</v>
      </c>
      <c r="C96" s="5" t="s">
        <v>198</v>
      </c>
      <c r="D96" s="79">
        <v>30.89</v>
      </c>
      <c r="E96" s="61">
        <v>19.2</v>
      </c>
      <c r="F96" s="80">
        <v>21.66</v>
      </c>
      <c r="G96" s="86">
        <f>458.51/1860.3</f>
        <v>0.24647099930118799</v>
      </c>
      <c r="H96" s="62"/>
      <c r="I96" s="62"/>
      <c r="J96" s="62"/>
      <c r="K96" s="62"/>
      <c r="L96" s="62"/>
      <c r="M96" s="62"/>
      <c r="N96" s="62"/>
    </row>
    <row r="97" spans="1:14" x14ac:dyDescent="0.2">
      <c r="A97" s="4"/>
      <c r="B97" s="316"/>
      <c r="C97" s="5" t="s">
        <v>92</v>
      </c>
      <c r="D97" s="79"/>
      <c r="E97" s="61"/>
      <c r="F97" s="80"/>
      <c r="G97" s="80"/>
      <c r="H97" s="62"/>
      <c r="I97" s="62"/>
      <c r="J97" s="62"/>
      <c r="K97" s="62"/>
      <c r="L97" s="62"/>
      <c r="M97" s="62"/>
      <c r="N97" s="62"/>
    </row>
    <row r="98" spans="1:14" x14ac:dyDescent="0.2">
      <c r="A98" s="4"/>
      <c r="B98" s="316"/>
      <c r="C98" s="82" t="s">
        <v>194</v>
      </c>
      <c r="D98" s="79">
        <v>8.6999999999999993</v>
      </c>
      <c r="E98" s="61">
        <v>10.44</v>
      </c>
      <c r="F98" s="80">
        <v>10.31</v>
      </c>
      <c r="G98" s="86">
        <f>3780.04/36744.78</f>
        <v>0.10287284343517637</v>
      </c>
      <c r="H98" s="62"/>
      <c r="I98" s="62"/>
      <c r="J98" s="62"/>
      <c r="K98" s="62"/>
      <c r="L98" s="62"/>
      <c r="M98" s="62"/>
      <c r="N98" s="62"/>
    </row>
    <row r="99" spans="1:14" x14ac:dyDescent="0.2">
      <c r="A99" s="4"/>
      <c r="B99" s="316"/>
      <c r="C99" s="82" t="s">
        <v>195</v>
      </c>
      <c r="D99" s="83">
        <v>6.5</v>
      </c>
      <c r="E99" s="81" t="s">
        <v>123</v>
      </c>
      <c r="F99" s="81" t="s">
        <v>196</v>
      </c>
      <c r="G99" s="81"/>
      <c r="H99" s="62"/>
      <c r="I99" s="62"/>
      <c r="J99" s="62"/>
      <c r="K99" s="62"/>
      <c r="L99" s="62"/>
      <c r="M99" s="62"/>
      <c r="N99" s="62"/>
    </row>
    <row r="100" spans="1:14" x14ac:dyDescent="0.2">
      <c r="A100" s="4"/>
      <c r="B100" s="316"/>
      <c r="C100" s="82" t="s">
        <v>197</v>
      </c>
      <c r="D100" s="79">
        <v>13.4</v>
      </c>
      <c r="E100" s="61">
        <v>14.3</v>
      </c>
      <c r="F100" s="80">
        <v>13.84</v>
      </c>
      <c r="G100" s="86">
        <f>676.22/6064.12</f>
        <v>0.11151164554791133</v>
      </c>
      <c r="H100" s="62"/>
      <c r="I100" s="62"/>
      <c r="J100" s="62"/>
      <c r="K100" s="62"/>
      <c r="L100" s="62"/>
      <c r="M100" s="62"/>
      <c r="N100" s="62"/>
    </row>
    <row r="101" spans="1:14" x14ac:dyDescent="0.2">
      <c r="A101" s="4"/>
      <c r="B101" s="316"/>
      <c r="C101" s="5" t="s">
        <v>93</v>
      </c>
      <c r="D101" s="79">
        <v>9.5299999999999994</v>
      </c>
      <c r="E101" s="61">
        <f>E98+E100/2</f>
        <v>17.59</v>
      </c>
      <c r="F101" s="80"/>
      <c r="G101" s="80"/>
      <c r="H101" s="62"/>
      <c r="I101" s="62"/>
      <c r="J101" s="62"/>
      <c r="K101" s="66"/>
      <c r="L101" s="62"/>
      <c r="M101" s="62"/>
      <c r="N101" s="62"/>
    </row>
    <row r="102" spans="1:14" x14ac:dyDescent="0.2">
      <c r="A102" s="4"/>
      <c r="B102" s="67" t="s">
        <v>96</v>
      </c>
      <c r="C102" s="5" t="s">
        <v>193</v>
      </c>
      <c r="D102" s="79">
        <v>36.32</v>
      </c>
      <c r="E102" s="61">
        <v>13.54</v>
      </c>
      <c r="F102" s="80">
        <v>17.28</v>
      </c>
      <c r="G102" s="85">
        <f>1860.3/81.1</f>
        <v>22.9383477188656</v>
      </c>
      <c r="H102" s="62"/>
      <c r="I102" s="62"/>
      <c r="J102" s="62"/>
      <c r="K102" s="62"/>
      <c r="L102" s="62"/>
      <c r="M102" s="62"/>
      <c r="N102" s="62"/>
    </row>
    <row r="103" spans="1:14" x14ac:dyDescent="0.2">
      <c r="A103" s="4"/>
      <c r="B103" s="69"/>
      <c r="C103" s="5" t="s">
        <v>92</v>
      </c>
      <c r="D103" s="79"/>
      <c r="E103" s="61"/>
      <c r="F103" s="80"/>
      <c r="G103" s="80"/>
      <c r="H103" s="62"/>
      <c r="I103" s="62"/>
      <c r="J103" s="62"/>
      <c r="K103" s="62"/>
      <c r="L103" s="62"/>
      <c r="M103" s="62"/>
      <c r="N103" s="62"/>
    </row>
    <row r="104" spans="1:14" x14ac:dyDescent="0.2">
      <c r="A104" s="4"/>
      <c r="B104" s="69"/>
      <c r="C104" s="82" t="s">
        <v>194</v>
      </c>
      <c r="D104" s="79">
        <v>32.4</v>
      </c>
      <c r="E104" s="61">
        <v>35.06</v>
      </c>
      <c r="F104" s="80">
        <v>37.89</v>
      </c>
      <c r="G104" s="85">
        <f>36744.78/870.01</f>
        <v>42.234893851794808</v>
      </c>
      <c r="H104" s="62"/>
      <c r="I104" s="62"/>
      <c r="J104" s="62"/>
      <c r="K104" s="62"/>
      <c r="L104" s="62"/>
      <c r="M104" s="62"/>
      <c r="N104" s="62"/>
    </row>
    <row r="105" spans="1:14" x14ac:dyDescent="0.2">
      <c r="A105" s="4"/>
      <c r="B105" s="69"/>
      <c r="C105" s="82" t="s">
        <v>195</v>
      </c>
      <c r="D105" s="79">
        <v>233</v>
      </c>
      <c r="E105" s="61">
        <v>197.01</v>
      </c>
      <c r="F105" s="80">
        <v>123.92</v>
      </c>
      <c r="G105" s="80"/>
      <c r="H105" s="62"/>
      <c r="I105" s="62"/>
      <c r="J105" s="62"/>
      <c r="K105" s="62"/>
      <c r="L105" s="62"/>
      <c r="M105" s="62"/>
      <c r="N105" s="62"/>
    </row>
    <row r="106" spans="1:14" x14ac:dyDescent="0.2">
      <c r="A106" s="4"/>
      <c r="B106" s="69"/>
      <c r="C106" s="82" t="s">
        <v>197</v>
      </c>
      <c r="D106" s="79">
        <v>79.7</v>
      </c>
      <c r="E106" s="61">
        <v>101.44</v>
      </c>
      <c r="F106" s="80">
        <v>117.68</v>
      </c>
      <c r="G106" s="85">
        <f>6064.12/45.822</f>
        <v>132.34079699707564</v>
      </c>
      <c r="H106" s="62"/>
      <c r="I106" s="62"/>
      <c r="J106" s="62"/>
      <c r="K106" s="62"/>
      <c r="L106" s="62"/>
      <c r="M106" s="62"/>
      <c r="N106" s="62"/>
    </row>
    <row r="107" spans="1:14" x14ac:dyDescent="0.2">
      <c r="A107" s="4"/>
      <c r="B107" s="69"/>
      <c r="C107" s="5" t="s">
        <v>93</v>
      </c>
      <c r="D107" s="79">
        <v>115.03</v>
      </c>
      <c r="E107" s="64">
        <f>E104+E105+E106/3</f>
        <v>265.88333333333333</v>
      </c>
      <c r="F107" s="80"/>
      <c r="G107" s="80"/>
      <c r="H107" s="62"/>
      <c r="I107" s="62"/>
      <c r="J107" s="62"/>
      <c r="K107" s="62"/>
      <c r="L107" s="62"/>
      <c r="M107" s="62"/>
      <c r="N107" s="62"/>
    </row>
    <row r="108" spans="1:14" x14ac:dyDescent="0.25">
      <c r="A108" s="4"/>
      <c r="B108" s="376" t="s">
        <v>199</v>
      </c>
      <c r="C108" s="377"/>
      <c r="D108" s="377"/>
      <c r="E108" s="377"/>
      <c r="F108" s="377"/>
      <c r="G108" s="378"/>
      <c r="H108" s="62"/>
      <c r="I108" s="62"/>
      <c r="J108" s="62"/>
      <c r="K108" s="62"/>
      <c r="L108" s="62"/>
      <c r="M108" s="62"/>
      <c r="N108" s="62"/>
    </row>
    <row r="109" spans="1:14" x14ac:dyDescent="0.25">
      <c r="A109" s="4"/>
      <c r="B109" s="353" t="s">
        <v>200</v>
      </c>
      <c r="C109" s="354"/>
      <c r="D109" s="354"/>
      <c r="E109" s="354"/>
      <c r="F109" s="354"/>
      <c r="G109" s="355"/>
      <c r="H109" s="62"/>
      <c r="I109" s="62"/>
      <c r="J109" s="62"/>
      <c r="K109" s="62"/>
      <c r="L109" s="62"/>
      <c r="M109" s="62"/>
      <c r="N109" s="62"/>
    </row>
    <row r="110" spans="1:14" x14ac:dyDescent="0.25">
      <c r="A110" s="4"/>
      <c r="B110" s="379" t="s">
        <v>128</v>
      </c>
      <c r="C110" s="380"/>
      <c r="D110" s="380"/>
      <c r="E110" s="380"/>
      <c r="F110" s="380"/>
      <c r="G110" s="381"/>
      <c r="H110" s="62"/>
      <c r="I110" s="62"/>
      <c r="J110" s="62"/>
      <c r="K110" s="62"/>
      <c r="L110" s="62"/>
      <c r="M110" s="62"/>
      <c r="N110" s="62"/>
    </row>
    <row r="111" spans="1:14" x14ac:dyDescent="0.25">
      <c r="A111" s="26"/>
      <c r="B111" s="12"/>
      <c r="C111" s="323"/>
      <c r="D111" s="323"/>
      <c r="E111" s="323"/>
      <c r="F111" s="323"/>
      <c r="G111" s="323"/>
      <c r="H111" s="62"/>
      <c r="I111" s="62"/>
      <c r="J111" s="26"/>
      <c r="K111" s="26"/>
      <c r="L111" s="26"/>
      <c r="M111" s="26"/>
      <c r="N111" s="26"/>
    </row>
    <row r="112" spans="1:14" x14ac:dyDescent="0.25">
      <c r="A112" s="13">
        <v>14</v>
      </c>
      <c r="B112" s="70" t="s">
        <v>99</v>
      </c>
      <c r="C112" s="324" t="s">
        <v>16</v>
      </c>
      <c r="D112" s="325"/>
      <c r="E112" s="325"/>
      <c r="F112" s="325"/>
      <c r="G112" s="326"/>
      <c r="H112" s="26"/>
      <c r="I112" s="26"/>
      <c r="J112" s="26"/>
      <c r="K112" s="26"/>
      <c r="L112" s="26"/>
      <c r="M112" s="26"/>
      <c r="N112" s="26"/>
    </row>
    <row r="113" spans="1:14" x14ac:dyDescent="0.25">
      <c r="A113" s="71"/>
      <c r="B113" s="26"/>
      <c r="C113" s="84"/>
      <c r="D113" s="84"/>
      <c r="E113" s="84"/>
      <c r="F113" s="84"/>
      <c r="G113" s="84"/>
      <c r="H113" s="26"/>
      <c r="I113" s="26"/>
      <c r="J113" s="26"/>
      <c r="K113" s="26"/>
      <c r="L113" s="26"/>
      <c r="M113" s="26"/>
      <c r="N113" s="26"/>
    </row>
    <row r="114" spans="1:14" x14ac:dyDescent="0.25">
      <c r="A114" s="26"/>
      <c r="B114" s="374" t="s">
        <v>201</v>
      </c>
      <c r="C114" s="375"/>
      <c r="D114" s="375"/>
      <c r="E114" s="375"/>
      <c r="F114" s="375"/>
      <c r="G114" s="375"/>
      <c r="H114" s="375"/>
      <c r="I114" s="26"/>
      <c r="J114" s="26"/>
      <c r="K114" s="26"/>
      <c r="L114" s="26"/>
      <c r="M114" s="26"/>
      <c r="N114" s="26"/>
    </row>
    <row r="115" spans="1:14" x14ac:dyDescent="0.25">
      <c r="A115" s="26"/>
      <c r="B115" s="26"/>
      <c r="C115" s="26"/>
      <c r="D115" s="26"/>
      <c r="E115" s="26"/>
      <c r="F115" s="26"/>
      <c r="G115" s="26"/>
      <c r="H115" s="26"/>
      <c r="I115" s="26"/>
      <c r="J115" s="26"/>
      <c r="K115" s="26"/>
      <c r="L115" s="26"/>
      <c r="M115" s="26"/>
      <c r="N115" s="26"/>
    </row>
    <row r="116" spans="1:14" x14ac:dyDescent="0.25">
      <c r="A116" s="26"/>
      <c r="B116" s="26"/>
      <c r="C116" s="26"/>
      <c r="D116" s="26"/>
      <c r="E116" s="26"/>
      <c r="F116" s="26"/>
      <c r="G116" s="26"/>
      <c r="H116" s="26"/>
      <c r="I116" s="26"/>
      <c r="J116" s="26"/>
      <c r="K116" s="26"/>
      <c r="L116" s="26"/>
      <c r="M116" s="26"/>
      <c r="N116" s="26"/>
    </row>
  </sheetData>
  <sheetProtection password="E9DF" sheet="1" objects="1" scenarios="1"/>
  <mergeCells count="59">
    <mergeCell ref="C21:E21"/>
    <mergeCell ref="A1:B1"/>
    <mergeCell ref="C5:E5"/>
    <mergeCell ref="B6:D6"/>
    <mergeCell ref="B9:D9"/>
    <mergeCell ref="C11:E11"/>
    <mergeCell ref="B12:D12"/>
    <mergeCell ref="B15:C15"/>
    <mergeCell ref="B17:E17"/>
    <mergeCell ref="C18:E18"/>
    <mergeCell ref="C19:E19"/>
    <mergeCell ref="C20:E20"/>
    <mergeCell ref="B46:E46"/>
    <mergeCell ref="C22:E22"/>
    <mergeCell ref="B23:E23"/>
    <mergeCell ref="B26:E26"/>
    <mergeCell ref="B27:E27"/>
    <mergeCell ref="B33:E33"/>
    <mergeCell ref="B35:E35"/>
    <mergeCell ref="B39:C39"/>
    <mergeCell ref="B42:E42"/>
    <mergeCell ref="C43:E43"/>
    <mergeCell ref="C44:E44"/>
    <mergeCell ref="C45:E45"/>
    <mergeCell ref="B48:E48"/>
    <mergeCell ref="B51:E51"/>
    <mergeCell ref="B53:E53"/>
    <mergeCell ref="B54:B56"/>
    <mergeCell ref="C54:E54"/>
    <mergeCell ref="C55:E55"/>
    <mergeCell ref="C56:E56"/>
    <mergeCell ref="C57:E57"/>
    <mergeCell ref="C58:E58"/>
    <mergeCell ref="B59:E59"/>
    <mergeCell ref="B60:E60"/>
    <mergeCell ref="C63:E63"/>
    <mergeCell ref="B90:B95"/>
    <mergeCell ref="F69:H69"/>
    <mergeCell ref="I69:K69"/>
    <mergeCell ref="L69:N69"/>
    <mergeCell ref="B74:N74"/>
    <mergeCell ref="B75:N75"/>
    <mergeCell ref="B76:N76"/>
    <mergeCell ref="B69:B70"/>
    <mergeCell ref="C69:C70"/>
    <mergeCell ref="D69:D70"/>
    <mergeCell ref="E69:E70"/>
    <mergeCell ref="B77:N77"/>
    <mergeCell ref="B78:N78"/>
    <mergeCell ref="B79:N79"/>
    <mergeCell ref="B81:G81"/>
    <mergeCell ref="B84:B89"/>
    <mergeCell ref="B114:H114"/>
    <mergeCell ref="B96:B101"/>
    <mergeCell ref="B108:G108"/>
    <mergeCell ref="B109:G109"/>
    <mergeCell ref="B110:G110"/>
    <mergeCell ref="C111:G111"/>
    <mergeCell ref="C112:G1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opLeftCell="A39" workbookViewId="0">
      <selection activeCell="C56" sqref="C56:E56"/>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202</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5</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203</v>
      </c>
      <c r="D8" s="9"/>
      <c r="E8" s="12"/>
      <c r="F8" s="12"/>
      <c r="G8" s="12"/>
      <c r="H8" s="12"/>
      <c r="I8" s="12"/>
      <c r="J8" s="12"/>
      <c r="K8" s="12"/>
      <c r="L8" s="12"/>
      <c r="M8" s="12"/>
      <c r="N8" s="12"/>
    </row>
    <row r="9" spans="1:25" ht="16.149999999999999" customHeight="1" x14ac:dyDescent="0.25">
      <c r="A9" s="13"/>
      <c r="B9" s="382" t="s">
        <v>6</v>
      </c>
      <c r="C9" s="382"/>
      <c r="D9" s="38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204</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155</v>
      </c>
      <c r="C19" s="373" t="s">
        <v>16</v>
      </c>
      <c r="D19" s="373"/>
      <c r="E19" s="373"/>
      <c r="F19" s="19"/>
      <c r="G19" s="17"/>
      <c r="I19" s="17"/>
      <c r="J19" s="17"/>
      <c r="K19" s="17"/>
      <c r="L19" s="17"/>
      <c r="M19" s="17"/>
      <c r="N19" s="17"/>
    </row>
    <row r="20" spans="1:14" x14ac:dyDescent="0.25">
      <c r="A20" s="13"/>
      <c r="B20" s="18" t="s">
        <v>18</v>
      </c>
      <c r="C20" s="373" t="s">
        <v>16</v>
      </c>
      <c r="D20" s="373"/>
      <c r="E20" s="37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133</v>
      </c>
      <c r="D28" s="22" t="s">
        <v>26</v>
      </c>
      <c r="E28" s="22" t="s">
        <v>27</v>
      </c>
      <c r="F28" s="19"/>
      <c r="G28" s="26"/>
      <c r="H28" s="26"/>
      <c r="I28" s="26"/>
      <c r="J28" s="26"/>
      <c r="K28" s="26"/>
      <c r="L28" s="26"/>
      <c r="M28" s="26"/>
      <c r="N28" s="26"/>
    </row>
    <row r="29" spans="1:14" ht="12.75" customHeight="1" x14ac:dyDescent="0.25">
      <c r="A29" s="13"/>
      <c r="B29" s="23" t="s">
        <v>28</v>
      </c>
      <c r="C29" s="24">
        <v>8526.26</v>
      </c>
      <c r="D29" s="24">
        <v>11502.86</v>
      </c>
      <c r="E29" s="24">
        <v>5653.35</v>
      </c>
      <c r="G29" s="26"/>
      <c r="H29" s="26"/>
      <c r="I29" s="26"/>
      <c r="J29" s="26"/>
      <c r="K29" s="26"/>
      <c r="L29" s="26"/>
      <c r="M29" s="26"/>
      <c r="N29" s="26"/>
    </row>
    <row r="30" spans="1:14" x14ac:dyDescent="0.25">
      <c r="A30" s="13"/>
      <c r="B30" s="23" t="s">
        <v>29</v>
      </c>
      <c r="C30" s="24">
        <v>138.76</v>
      </c>
      <c r="D30" s="24">
        <v>326.8</v>
      </c>
      <c r="E30" s="24">
        <v>290.45</v>
      </c>
      <c r="G30" s="26"/>
      <c r="H30" s="26"/>
      <c r="I30" s="26"/>
      <c r="J30" s="26"/>
      <c r="K30" s="26"/>
      <c r="L30" s="26"/>
      <c r="M30" s="26"/>
      <c r="N30" s="26"/>
    </row>
    <row r="31" spans="1:14" x14ac:dyDescent="0.25">
      <c r="A31" s="13"/>
      <c r="B31" s="23" t="s">
        <v>30</v>
      </c>
      <c r="C31" s="24">
        <v>921.5</v>
      </c>
      <c r="D31" s="24">
        <v>921.5</v>
      </c>
      <c r="E31" s="24">
        <v>1000.5</v>
      </c>
      <c r="G31" s="26"/>
      <c r="H31" s="26"/>
      <c r="I31" s="26"/>
      <c r="J31" s="26"/>
      <c r="K31" s="26"/>
      <c r="L31" s="26"/>
      <c r="M31" s="26"/>
      <c r="N31" s="26"/>
    </row>
    <row r="32" spans="1:14" x14ac:dyDescent="0.25">
      <c r="A32" s="13"/>
      <c r="B32" s="23" t="s">
        <v>31</v>
      </c>
      <c r="C32" s="24">
        <v>272.04000000000002</v>
      </c>
      <c r="D32" s="24">
        <v>598.08000000000004</v>
      </c>
      <c r="E32" s="24">
        <v>1798.28</v>
      </c>
      <c r="G32" s="26"/>
      <c r="H32" s="26"/>
      <c r="I32" s="26"/>
      <c r="J32" s="26"/>
      <c r="K32" s="26"/>
      <c r="L32" s="26"/>
      <c r="M32" s="26"/>
      <c r="N32" s="26"/>
    </row>
    <row r="33" spans="1:14" x14ac:dyDescent="0.25">
      <c r="A33" s="13"/>
      <c r="B33" s="353" t="s">
        <v>205</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24" t="s">
        <v>35</v>
      </c>
      <c r="D38" s="17"/>
      <c r="E38" s="17"/>
      <c r="F38" s="17"/>
      <c r="G38" s="26"/>
      <c r="H38" s="26"/>
      <c r="I38" s="26"/>
      <c r="J38" s="26"/>
      <c r="K38" s="26"/>
      <c r="L38" s="26"/>
      <c r="M38" s="26"/>
      <c r="N38" s="26"/>
    </row>
    <row r="39" spans="1:14" x14ac:dyDescent="0.25">
      <c r="A39" s="13"/>
      <c r="B39" s="382" t="s">
        <v>206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207</v>
      </c>
      <c r="D43" s="351"/>
      <c r="E43" s="352"/>
      <c r="F43" s="17"/>
      <c r="G43" s="26"/>
      <c r="H43" s="26"/>
      <c r="I43" s="26"/>
      <c r="J43" s="26"/>
      <c r="K43" s="26"/>
      <c r="L43" s="26"/>
      <c r="M43" s="26"/>
      <c r="N43" s="26"/>
    </row>
    <row r="44" spans="1:14" x14ac:dyDescent="0.25">
      <c r="A44" s="13"/>
      <c r="B44" s="21" t="s">
        <v>36</v>
      </c>
      <c r="C44" s="350" t="s">
        <v>16</v>
      </c>
      <c r="D44" s="351"/>
      <c r="E44" s="352"/>
      <c r="F44" s="17"/>
      <c r="G44" s="26"/>
      <c r="H44" s="26"/>
      <c r="I44" s="26"/>
      <c r="J44" s="26"/>
      <c r="K44" s="26"/>
      <c r="L44" s="26"/>
      <c r="M44" s="26"/>
      <c r="N44" s="26"/>
    </row>
    <row r="45" spans="1:14" x14ac:dyDescent="0.25">
      <c r="A45" s="13"/>
      <c r="B45" s="21" t="s">
        <v>37</v>
      </c>
      <c r="C45" s="350" t="s">
        <v>16</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45</v>
      </c>
      <c r="F49" s="26"/>
      <c r="G49" s="26"/>
      <c r="H49" s="26"/>
      <c r="I49" s="26"/>
      <c r="J49" s="26"/>
      <c r="K49" s="26"/>
      <c r="L49" s="26"/>
      <c r="M49" s="26"/>
    </row>
    <row r="50" spans="1:14" ht="25.5" x14ac:dyDescent="0.25">
      <c r="A50" s="34"/>
      <c r="B50" s="35" t="s">
        <v>208</v>
      </c>
      <c r="C50" s="35" t="s">
        <v>209</v>
      </c>
      <c r="D50" s="94" t="s">
        <v>210</v>
      </c>
      <c r="E50" s="6" t="s">
        <v>48</v>
      </c>
      <c r="F50" s="26"/>
      <c r="G50" s="26"/>
      <c r="H50" s="26"/>
      <c r="I50" s="26"/>
      <c r="J50" s="26"/>
      <c r="K50" s="26"/>
      <c r="L50" s="26"/>
      <c r="M50" s="26"/>
    </row>
    <row r="51" spans="1:14" x14ac:dyDescent="0.25">
      <c r="A51" s="36"/>
      <c r="B51" s="403" t="s">
        <v>211</v>
      </c>
      <c r="C51" s="404"/>
      <c r="D51" s="404"/>
      <c r="E51" s="405"/>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
      <c r="A54" s="34"/>
      <c r="B54" s="357" t="s">
        <v>50</v>
      </c>
      <c r="C54" s="360" t="s">
        <v>212</v>
      </c>
      <c r="D54" s="361"/>
      <c r="E54" s="362"/>
      <c r="F54" s="26"/>
      <c r="G54" s="26"/>
      <c r="H54" s="26"/>
      <c r="I54" s="26"/>
      <c r="J54" s="26"/>
      <c r="K54" s="2"/>
      <c r="L54" s="26"/>
      <c r="M54" s="26"/>
    </row>
    <row r="55" spans="1:14" x14ac:dyDescent="0.2">
      <c r="A55" s="34"/>
      <c r="B55" s="358"/>
      <c r="C55" s="360" t="s">
        <v>213</v>
      </c>
      <c r="D55" s="361"/>
      <c r="E55" s="362"/>
      <c r="F55" s="26"/>
      <c r="G55" s="26"/>
      <c r="H55" s="26"/>
      <c r="I55" s="26"/>
      <c r="J55" s="26"/>
      <c r="K55" s="2"/>
      <c r="L55" s="26"/>
      <c r="M55" s="26"/>
    </row>
    <row r="56" spans="1:14" x14ac:dyDescent="0.25">
      <c r="A56" s="29"/>
      <c r="B56" s="39" t="s">
        <v>54</v>
      </c>
      <c r="C56" s="341" t="s">
        <v>214</v>
      </c>
      <c r="D56" s="342"/>
      <c r="E56" s="343"/>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403"/>
      <c r="C58" s="404"/>
      <c r="D58" s="404"/>
      <c r="E58" s="405"/>
      <c r="F58" s="26"/>
      <c r="G58" s="26"/>
      <c r="H58" s="26"/>
      <c r="I58" s="26"/>
      <c r="J58" s="26"/>
      <c r="K58" s="40"/>
      <c r="L58" s="26"/>
      <c r="M58" s="26"/>
    </row>
    <row r="59" spans="1:14" s="76" customFormat="1" x14ac:dyDescent="0.2">
      <c r="A59" s="41" t="s">
        <v>57</v>
      </c>
      <c r="B59" s="384" t="s">
        <v>58</v>
      </c>
      <c r="C59" s="384"/>
      <c r="D59" s="384"/>
      <c r="E59" s="384"/>
    </row>
    <row r="60" spans="1:14" x14ac:dyDescent="0.25">
      <c r="A60" s="43"/>
      <c r="B60" s="44"/>
      <c r="C60" s="45"/>
      <c r="D60" s="46"/>
      <c r="E60" s="47"/>
      <c r="F60" s="40"/>
      <c r="G60" s="40"/>
      <c r="H60" s="40"/>
      <c r="I60" s="40"/>
      <c r="J60" s="40"/>
      <c r="K60" s="40"/>
      <c r="L60" s="40"/>
      <c r="M60" s="26"/>
      <c r="N60" s="26"/>
    </row>
    <row r="61" spans="1:14" x14ac:dyDescent="0.25">
      <c r="A61" s="48"/>
      <c r="B61" s="49"/>
      <c r="C61" s="50"/>
      <c r="D61" s="50"/>
      <c r="E61" s="50"/>
      <c r="F61" s="50"/>
      <c r="G61" s="12"/>
      <c r="H61" s="12"/>
      <c r="I61" s="12"/>
      <c r="J61" s="12"/>
      <c r="K61" s="12"/>
      <c r="L61" s="12"/>
      <c r="M61" s="26"/>
      <c r="N61" s="26"/>
    </row>
    <row r="62" spans="1:14" x14ac:dyDescent="0.25">
      <c r="A62" s="13">
        <v>11</v>
      </c>
      <c r="B62" s="5" t="s">
        <v>59</v>
      </c>
      <c r="C62" s="349" t="s">
        <v>60</v>
      </c>
      <c r="D62" s="349"/>
      <c r="E62" s="349"/>
      <c r="F62" s="15"/>
      <c r="G62" s="15"/>
      <c r="H62" s="51"/>
      <c r="I62" s="15"/>
      <c r="J62" s="15"/>
      <c r="K62" s="26"/>
      <c r="L62" s="12"/>
      <c r="M62" s="26"/>
      <c r="N62" s="26"/>
    </row>
    <row r="63" spans="1:14" x14ac:dyDescent="0.25">
      <c r="A63" s="13"/>
      <c r="B63" s="19"/>
      <c r="C63" s="19"/>
      <c r="D63" s="19"/>
      <c r="E63" s="19"/>
      <c r="F63" s="19"/>
      <c r="G63" s="19"/>
      <c r="H63" s="52"/>
      <c r="I63" s="52"/>
      <c r="J63" s="19"/>
      <c r="K63" s="26"/>
      <c r="L63" s="26"/>
      <c r="M63" s="26"/>
      <c r="N63" s="26"/>
    </row>
    <row r="64" spans="1:14" x14ac:dyDescent="0.25">
      <c r="A64" s="13">
        <v>12</v>
      </c>
      <c r="B64" s="15" t="s">
        <v>61</v>
      </c>
      <c r="C64" s="15"/>
      <c r="D64" s="15"/>
      <c r="E64" s="15"/>
      <c r="F64" s="15"/>
      <c r="G64" s="15"/>
      <c r="H64" s="15"/>
      <c r="I64" s="15"/>
      <c r="J64" s="15"/>
      <c r="K64" s="15"/>
      <c r="L64" s="15"/>
      <c r="M64" s="15"/>
      <c r="N64" s="15"/>
    </row>
    <row r="65" spans="1:14" x14ac:dyDescent="0.25">
      <c r="A65" s="13"/>
      <c r="B65" s="15"/>
      <c r="C65" s="15"/>
      <c r="D65" s="15"/>
      <c r="E65" s="15"/>
      <c r="F65" s="15"/>
      <c r="G65" s="15"/>
      <c r="H65" s="15"/>
      <c r="I65" s="15"/>
      <c r="J65" s="15"/>
      <c r="K65" s="15"/>
      <c r="L65" s="15"/>
      <c r="M65" s="15"/>
      <c r="N65" s="15"/>
    </row>
    <row r="66" spans="1:14" x14ac:dyDescent="0.25">
      <c r="A66" s="13"/>
      <c r="B66" s="21" t="s">
        <v>62</v>
      </c>
      <c r="C66" s="23" t="s">
        <v>215</v>
      </c>
      <c r="D66" s="19"/>
      <c r="E66" s="19"/>
      <c r="F66" s="52"/>
      <c r="G66" s="52"/>
      <c r="H66" s="19"/>
      <c r="I66" s="19"/>
      <c r="J66" s="19"/>
      <c r="K66" s="19"/>
      <c r="L66" s="19"/>
      <c r="M66" s="19"/>
      <c r="N66" s="19"/>
    </row>
    <row r="67" spans="1:14" x14ac:dyDescent="0.25">
      <c r="A67" s="13"/>
      <c r="B67" s="19"/>
      <c r="C67" s="19"/>
      <c r="D67" s="19"/>
      <c r="E67" s="19"/>
      <c r="F67" s="19"/>
      <c r="G67" s="19"/>
      <c r="H67" s="19"/>
      <c r="I67" s="19"/>
      <c r="J67" s="19"/>
      <c r="K67" s="19"/>
      <c r="L67" s="19"/>
      <c r="M67" s="19"/>
      <c r="N67" s="19"/>
    </row>
    <row r="68" spans="1:14" x14ac:dyDescent="0.25">
      <c r="A68" s="13"/>
      <c r="B68" s="333" t="s">
        <v>64</v>
      </c>
      <c r="C68" s="372" t="s">
        <v>216</v>
      </c>
      <c r="D68" s="372" t="s">
        <v>217</v>
      </c>
      <c r="E68" s="336" t="s">
        <v>218</v>
      </c>
      <c r="F68" s="327" t="s">
        <v>68</v>
      </c>
      <c r="G68" s="328"/>
      <c r="H68" s="329"/>
      <c r="I68" s="330" t="s">
        <v>69</v>
      </c>
      <c r="J68" s="330"/>
      <c r="K68" s="330"/>
      <c r="L68" s="330" t="s">
        <v>70</v>
      </c>
      <c r="M68" s="330"/>
      <c r="N68" s="330"/>
    </row>
    <row r="69" spans="1:14" ht="38.25" x14ac:dyDescent="0.25">
      <c r="A69" s="4"/>
      <c r="B69" s="333"/>
      <c r="C69" s="335"/>
      <c r="D69" s="335"/>
      <c r="E69" s="337"/>
      <c r="F69" s="21" t="s">
        <v>71</v>
      </c>
      <c r="G69" s="21" t="s">
        <v>72</v>
      </c>
      <c r="H69" s="21" t="s">
        <v>73</v>
      </c>
      <c r="I69" s="21" t="s">
        <v>74</v>
      </c>
      <c r="J69" s="21" t="s">
        <v>72</v>
      </c>
      <c r="K69" s="21" t="s">
        <v>73</v>
      </c>
      <c r="L69" s="21" t="s">
        <v>74</v>
      </c>
      <c r="M69" s="21" t="s">
        <v>72</v>
      </c>
      <c r="N69" s="21" t="s">
        <v>73</v>
      </c>
    </row>
    <row r="70" spans="1:14" x14ac:dyDescent="0.25">
      <c r="A70" s="4"/>
      <c r="B70" s="21" t="s">
        <v>75</v>
      </c>
      <c r="C70" s="53">
        <v>14.7</v>
      </c>
      <c r="D70" s="54">
        <v>24.2</v>
      </c>
      <c r="E70" s="54">
        <v>26.1</v>
      </c>
      <c r="F70" s="54">
        <v>22</v>
      </c>
      <c r="G70" s="54">
        <v>27.6</v>
      </c>
      <c r="H70" s="53">
        <v>14.25</v>
      </c>
      <c r="I70" s="53">
        <v>112.95</v>
      </c>
      <c r="J70" s="53">
        <v>112.95</v>
      </c>
      <c r="K70" s="53">
        <v>21.5</v>
      </c>
      <c r="L70" s="53">
        <v>182.25</v>
      </c>
      <c r="M70" s="53">
        <v>269.89999999999998</v>
      </c>
      <c r="N70" s="53">
        <v>118</v>
      </c>
    </row>
    <row r="71" spans="1:14" ht="25.5" x14ac:dyDescent="0.2">
      <c r="A71" s="4"/>
      <c r="B71" s="21" t="s">
        <v>76</v>
      </c>
      <c r="C71" s="55">
        <v>27010.14</v>
      </c>
      <c r="D71" s="55">
        <v>25610.53</v>
      </c>
      <c r="E71" s="78">
        <v>24682.03</v>
      </c>
      <c r="F71" s="53">
        <v>25341.86</v>
      </c>
      <c r="G71" s="53">
        <v>29094.61</v>
      </c>
      <c r="H71" s="53">
        <v>22494.61</v>
      </c>
      <c r="I71" s="53">
        <v>29620.5</v>
      </c>
      <c r="J71" s="53">
        <v>29620.5</v>
      </c>
      <c r="K71" s="53">
        <v>25262.21</v>
      </c>
      <c r="L71" s="54">
        <v>32968.68</v>
      </c>
      <c r="M71" s="54">
        <v>36443.980000000003</v>
      </c>
      <c r="N71" s="56">
        <v>29241.48</v>
      </c>
    </row>
    <row r="72" spans="1:14" x14ac:dyDescent="0.2">
      <c r="A72" s="4"/>
      <c r="B72" s="27" t="s">
        <v>219</v>
      </c>
      <c r="C72" s="55">
        <v>789.26</v>
      </c>
      <c r="D72" s="55">
        <v>759.83</v>
      </c>
      <c r="E72" s="55">
        <v>790.51</v>
      </c>
      <c r="F72" s="53">
        <v>767.86</v>
      </c>
      <c r="G72" s="53">
        <v>948</v>
      </c>
      <c r="H72" s="53">
        <v>731.23</v>
      </c>
      <c r="I72" s="54">
        <v>1288.8800000000001</v>
      </c>
      <c r="J72" s="54">
        <v>1288.8800000000001</v>
      </c>
      <c r="K72" s="53">
        <v>824.79</v>
      </c>
      <c r="L72" s="54" t="s">
        <v>48</v>
      </c>
      <c r="M72" s="54" t="s">
        <v>48</v>
      </c>
      <c r="N72" s="54" t="s">
        <v>48</v>
      </c>
    </row>
    <row r="73" spans="1:14" x14ac:dyDescent="0.25">
      <c r="A73" s="4"/>
      <c r="B73" s="331" t="s">
        <v>220</v>
      </c>
      <c r="C73" s="331"/>
      <c r="D73" s="331"/>
      <c r="E73" s="331"/>
      <c r="F73" s="331"/>
      <c r="G73" s="331"/>
      <c r="H73" s="331"/>
      <c r="I73" s="331"/>
      <c r="J73" s="331"/>
      <c r="K73" s="331"/>
      <c r="L73" s="331"/>
      <c r="M73" s="331"/>
      <c r="N73" s="331"/>
    </row>
    <row r="74" spans="1:14" ht="13.5" x14ac:dyDescent="0.25">
      <c r="A74" s="4"/>
      <c r="B74" s="383" t="s">
        <v>21</v>
      </c>
      <c r="C74" s="383"/>
      <c r="D74" s="383"/>
      <c r="E74" s="383"/>
      <c r="F74" s="383"/>
      <c r="G74" s="383"/>
      <c r="H74" s="383"/>
      <c r="I74" s="383"/>
      <c r="J74" s="383"/>
      <c r="K74" s="383"/>
      <c r="L74" s="383"/>
      <c r="M74" s="383"/>
      <c r="N74" s="383"/>
    </row>
    <row r="75" spans="1:14" x14ac:dyDescent="0.25">
      <c r="A75" s="4"/>
      <c r="B75" s="382" t="s">
        <v>79</v>
      </c>
      <c r="C75" s="382"/>
      <c r="D75" s="382"/>
      <c r="E75" s="382"/>
      <c r="F75" s="382"/>
      <c r="G75" s="382"/>
      <c r="H75" s="382"/>
      <c r="I75" s="382"/>
      <c r="J75" s="382"/>
      <c r="K75" s="382"/>
      <c r="L75" s="382"/>
      <c r="M75" s="382"/>
      <c r="N75" s="382"/>
    </row>
    <row r="76" spans="1:14" s="57" customFormat="1" x14ac:dyDescent="0.25">
      <c r="B76" s="382" t="s">
        <v>80</v>
      </c>
      <c r="C76" s="382"/>
      <c r="D76" s="382"/>
      <c r="E76" s="382"/>
      <c r="F76" s="382"/>
      <c r="G76" s="382"/>
      <c r="H76" s="382"/>
      <c r="I76" s="382"/>
      <c r="J76" s="382"/>
      <c r="K76" s="382"/>
      <c r="L76" s="382"/>
      <c r="M76" s="382"/>
      <c r="N76" s="382"/>
    </row>
    <row r="77" spans="1:14" x14ac:dyDescent="0.25">
      <c r="A77" s="4"/>
      <c r="B77" s="382" t="s">
        <v>117</v>
      </c>
      <c r="C77" s="382"/>
      <c r="D77" s="382"/>
      <c r="E77" s="382"/>
      <c r="F77" s="382"/>
      <c r="G77" s="382"/>
      <c r="H77" s="382"/>
      <c r="I77" s="382"/>
      <c r="J77" s="382"/>
      <c r="K77" s="382"/>
      <c r="L77" s="382"/>
      <c r="M77" s="382"/>
      <c r="N77" s="382"/>
    </row>
    <row r="78" spans="1:14" x14ac:dyDescent="0.25">
      <c r="A78" s="4"/>
      <c r="B78" s="382" t="s">
        <v>82</v>
      </c>
      <c r="C78" s="382"/>
      <c r="D78" s="382"/>
      <c r="E78" s="382"/>
      <c r="F78" s="382"/>
      <c r="G78" s="382"/>
      <c r="H78" s="382"/>
      <c r="I78" s="382"/>
      <c r="J78" s="382"/>
      <c r="K78" s="382"/>
      <c r="L78" s="382"/>
      <c r="M78" s="382"/>
      <c r="N78" s="382"/>
    </row>
    <row r="79" spans="1:14" x14ac:dyDescent="0.25">
      <c r="A79" s="4"/>
      <c r="B79" s="58"/>
      <c r="C79" s="58"/>
      <c r="D79" s="58"/>
      <c r="E79" s="58"/>
      <c r="F79" s="58"/>
      <c r="G79" s="17"/>
      <c r="H79" s="17"/>
      <c r="I79" s="17"/>
      <c r="J79" s="17"/>
      <c r="K79" s="17"/>
      <c r="L79" s="17"/>
      <c r="M79" s="17"/>
      <c r="N79" s="17"/>
    </row>
    <row r="80" spans="1:14" x14ac:dyDescent="0.25">
      <c r="A80" s="13">
        <v>13</v>
      </c>
      <c r="B80" s="338" t="s">
        <v>83</v>
      </c>
      <c r="C80" s="339"/>
      <c r="D80" s="339"/>
      <c r="E80" s="339"/>
      <c r="F80" s="339"/>
      <c r="G80" s="340"/>
      <c r="H80" s="15"/>
      <c r="I80" s="15"/>
      <c r="J80" s="15"/>
      <c r="K80" s="15"/>
      <c r="L80" s="15"/>
      <c r="M80" s="15"/>
      <c r="N80" s="15"/>
    </row>
    <row r="81" spans="1:14" x14ac:dyDescent="0.25">
      <c r="A81" s="13"/>
      <c r="B81" s="26"/>
      <c r="C81" s="19"/>
      <c r="D81" s="19"/>
      <c r="E81" s="19"/>
      <c r="F81" s="19"/>
      <c r="G81" s="19"/>
      <c r="H81" s="19"/>
      <c r="I81" s="19"/>
      <c r="J81" s="19"/>
      <c r="K81" s="19"/>
      <c r="L81" s="19"/>
      <c r="M81" s="19"/>
      <c r="N81" s="19"/>
    </row>
    <row r="82" spans="1:14" ht="102" x14ac:dyDescent="0.25">
      <c r="A82" s="4"/>
      <c r="B82" s="59" t="s">
        <v>84</v>
      </c>
      <c r="C82" s="22" t="s">
        <v>85</v>
      </c>
      <c r="D82" s="22" t="s">
        <v>86</v>
      </c>
      <c r="E82" s="22" t="s">
        <v>143</v>
      </c>
      <c r="F82" s="22" t="s">
        <v>88</v>
      </c>
      <c r="G82" s="22" t="s">
        <v>169</v>
      </c>
      <c r="H82" s="17"/>
      <c r="I82" s="17"/>
      <c r="J82" s="17"/>
      <c r="K82" s="17"/>
      <c r="L82" s="17"/>
      <c r="M82" s="17"/>
      <c r="N82" s="17"/>
    </row>
    <row r="83" spans="1:14" ht="12.75" customHeight="1" x14ac:dyDescent="0.2">
      <c r="A83" s="4"/>
      <c r="B83" s="316" t="s">
        <v>90</v>
      </c>
      <c r="C83" s="5" t="s">
        <v>221</v>
      </c>
      <c r="D83" s="79">
        <v>0.56999999999999995</v>
      </c>
      <c r="E83" s="61">
        <v>1.76</v>
      </c>
      <c r="F83" s="80">
        <v>3.55</v>
      </c>
      <c r="G83" s="80">
        <v>2.95</v>
      </c>
      <c r="H83" s="62"/>
      <c r="I83" s="62"/>
      <c r="J83" s="62"/>
      <c r="K83" s="62"/>
      <c r="L83" s="62"/>
      <c r="M83" s="62"/>
      <c r="N83" s="62"/>
    </row>
    <row r="84" spans="1:14" x14ac:dyDescent="0.25">
      <c r="A84" s="4"/>
      <c r="B84" s="316"/>
      <c r="C84" s="5" t="s">
        <v>92</v>
      </c>
      <c r="D84" s="63"/>
      <c r="E84" s="61"/>
      <c r="F84" s="80"/>
      <c r="G84" s="80"/>
      <c r="H84" s="62"/>
      <c r="I84" s="62"/>
      <c r="J84" s="62"/>
      <c r="K84" s="62"/>
      <c r="L84" s="62"/>
      <c r="M84" s="62"/>
      <c r="N84" s="62"/>
    </row>
    <row r="85" spans="1:14" x14ac:dyDescent="0.2">
      <c r="A85" s="4"/>
      <c r="B85" s="316"/>
      <c r="C85" s="82" t="s">
        <v>222</v>
      </c>
      <c r="D85" s="63">
        <v>4.5</v>
      </c>
      <c r="E85" s="61">
        <v>6.36</v>
      </c>
      <c r="F85" s="80">
        <v>8.0399999999999991</v>
      </c>
      <c r="G85" s="80">
        <v>6.38</v>
      </c>
      <c r="H85" s="62"/>
      <c r="I85" s="62"/>
      <c r="J85" s="62"/>
      <c r="K85" s="62"/>
      <c r="L85" s="62"/>
      <c r="M85" s="62"/>
      <c r="N85" s="62"/>
    </row>
    <row r="86" spans="1:14" x14ac:dyDescent="0.2">
      <c r="A86" s="4"/>
      <c r="B86" s="316"/>
      <c r="C86" s="82" t="s">
        <v>223</v>
      </c>
      <c r="D86" s="63">
        <v>53.07</v>
      </c>
      <c r="E86" s="61">
        <v>55.13</v>
      </c>
      <c r="F86" s="80">
        <v>69.19</v>
      </c>
      <c r="G86" s="80">
        <v>15.82</v>
      </c>
      <c r="H86" s="62"/>
      <c r="I86" s="62"/>
      <c r="J86" s="62"/>
      <c r="K86" s="62"/>
      <c r="L86" s="62"/>
      <c r="M86" s="62"/>
      <c r="N86" s="62"/>
    </row>
    <row r="87" spans="1:14" x14ac:dyDescent="0.2">
      <c r="A87" s="4"/>
      <c r="B87" s="316"/>
      <c r="C87" s="5" t="s">
        <v>93</v>
      </c>
      <c r="D87" s="79">
        <v>28.79</v>
      </c>
      <c r="E87" s="61">
        <f>E85+E86/2</f>
        <v>33.925000000000004</v>
      </c>
      <c r="F87" s="80">
        <v>26.93</v>
      </c>
      <c r="G87" s="95">
        <f>SUM(G83:G86)/3</f>
        <v>8.3833333333333329</v>
      </c>
      <c r="H87" s="62"/>
      <c r="I87" s="62"/>
      <c r="J87" s="62"/>
      <c r="K87" s="62"/>
      <c r="L87" s="62"/>
      <c r="M87" s="62"/>
      <c r="N87" s="62"/>
    </row>
    <row r="88" spans="1:14" x14ac:dyDescent="0.2">
      <c r="A88" s="4"/>
      <c r="B88" s="316" t="s">
        <v>94</v>
      </c>
      <c r="C88" s="5" t="s">
        <v>221</v>
      </c>
      <c r="D88" s="79">
        <v>24.56</v>
      </c>
      <c r="E88" s="61">
        <v>12.5</v>
      </c>
      <c r="F88" s="80">
        <v>31.82</v>
      </c>
      <c r="G88" s="80">
        <f>182.25/G83</f>
        <v>61.779661016949149</v>
      </c>
      <c r="H88" s="62"/>
      <c r="I88" s="62"/>
      <c r="J88" s="62"/>
      <c r="K88" s="62"/>
      <c r="L88" s="62"/>
      <c r="M88" s="62"/>
      <c r="N88" s="62"/>
    </row>
    <row r="89" spans="1:14" x14ac:dyDescent="0.2">
      <c r="A89" s="4"/>
      <c r="B89" s="316"/>
      <c r="C89" s="5" t="s">
        <v>92</v>
      </c>
      <c r="D89" s="79"/>
      <c r="E89" s="61"/>
      <c r="F89" s="80"/>
      <c r="G89" s="80"/>
      <c r="H89" s="62"/>
      <c r="I89" s="62"/>
      <c r="J89" s="62"/>
      <c r="K89" s="62"/>
      <c r="L89" s="62"/>
      <c r="M89" s="62"/>
      <c r="N89" s="62"/>
    </row>
    <row r="90" spans="1:14" x14ac:dyDescent="0.2">
      <c r="A90" s="4"/>
      <c r="B90" s="316"/>
      <c r="C90" s="82" t="s">
        <v>222</v>
      </c>
      <c r="D90" s="79">
        <v>52</v>
      </c>
      <c r="E90" s="61">
        <v>39.47</v>
      </c>
      <c r="F90" s="80">
        <v>49.08</v>
      </c>
      <c r="G90" s="85">
        <f>450.25/G85</f>
        <v>70.572100313479623</v>
      </c>
      <c r="H90" s="62"/>
      <c r="I90" s="62"/>
      <c r="J90" s="62"/>
      <c r="K90" s="62"/>
      <c r="L90" s="62"/>
      <c r="M90" s="62"/>
      <c r="N90" s="62"/>
    </row>
    <row r="91" spans="1:14" x14ac:dyDescent="0.2">
      <c r="A91" s="4"/>
      <c r="B91" s="316"/>
      <c r="C91" s="82" t="s">
        <v>223</v>
      </c>
      <c r="D91" s="83">
        <v>40</v>
      </c>
      <c r="E91" s="61">
        <v>30.88</v>
      </c>
      <c r="F91" s="80">
        <v>25.07</v>
      </c>
      <c r="G91" s="85">
        <f>1521.55/G86</f>
        <v>96.178887484197219</v>
      </c>
      <c r="H91" s="62"/>
      <c r="I91" s="62"/>
      <c r="J91" s="62"/>
      <c r="K91" s="62"/>
      <c r="L91" s="62"/>
      <c r="M91" s="62"/>
      <c r="N91" s="62"/>
    </row>
    <row r="92" spans="1:14" x14ac:dyDescent="0.2">
      <c r="A92" s="4"/>
      <c r="B92" s="316"/>
      <c r="C92" s="5" t="s">
        <v>93</v>
      </c>
      <c r="D92" s="79">
        <v>46</v>
      </c>
      <c r="E92" s="61">
        <f>E90+E91/2</f>
        <v>54.91</v>
      </c>
      <c r="F92" s="80">
        <v>35.32</v>
      </c>
      <c r="G92" s="95">
        <f>SUM(G88:G91)/3</f>
        <v>76.176882938208664</v>
      </c>
      <c r="H92" s="62"/>
      <c r="I92" s="62"/>
      <c r="J92" s="62"/>
      <c r="K92" s="62"/>
      <c r="L92" s="62"/>
      <c r="M92" s="62"/>
      <c r="N92" s="62"/>
    </row>
    <row r="93" spans="1:14" x14ac:dyDescent="0.2">
      <c r="A93" s="4"/>
      <c r="B93" s="316" t="s">
        <v>95</v>
      </c>
      <c r="C93" s="5" t="s">
        <v>221</v>
      </c>
      <c r="D93" s="79">
        <v>5.39</v>
      </c>
      <c r="E93" s="61">
        <v>13.59</v>
      </c>
      <c r="F93" s="80">
        <v>21.5</v>
      </c>
      <c r="G93" s="86">
        <f>290.45/2798.78</f>
        <v>0.10377736013548759</v>
      </c>
      <c r="H93" s="62"/>
      <c r="I93" s="62"/>
      <c r="J93" s="62"/>
      <c r="K93" s="62"/>
      <c r="L93" s="62"/>
      <c r="M93" s="62"/>
      <c r="N93" s="62"/>
    </row>
    <row r="94" spans="1:14" x14ac:dyDescent="0.2">
      <c r="A94" s="4"/>
      <c r="B94" s="316"/>
      <c r="C94" s="5" t="s">
        <v>92</v>
      </c>
      <c r="D94" s="79"/>
      <c r="E94" s="61"/>
      <c r="F94" s="80"/>
      <c r="G94" s="80"/>
      <c r="H94" s="62"/>
      <c r="I94" s="62"/>
      <c r="J94" s="62"/>
      <c r="K94" s="62"/>
      <c r="L94" s="62"/>
      <c r="M94" s="62"/>
      <c r="N94" s="62"/>
    </row>
    <row r="95" spans="1:14" x14ac:dyDescent="0.2">
      <c r="A95" s="4"/>
      <c r="B95" s="316"/>
      <c r="C95" s="82" t="s">
        <v>222</v>
      </c>
      <c r="D95" s="79">
        <v>17.7</v>
      </c>
      <c r="E95" s="61">
        <v>18.87</v>
      </c>
      <c r="F95" s="80">
        <v>25.41</v>
      </c>
      <c r="G95" s="86">
        <f>1353.62/22257</f>
        <v>6.0817720267780921E-2</v>
      </c>
      <c r="H95" s="62"/>
      <c r="I95" s="62"/>
      <c r="J95" s="62"/>
      <c r="K95" s="62"/>
      <c r="L95" s="62"/>
      <c r="M95" s="62"/>
      <c r="N95" s="62"/>
    </row>
    <row r="96" spans="1:14" x14ac:dyDescent="0.2">
      <c r="A96" s="4"/>
      <c r="B96" s="316"/>
      <c r="C96" s="82" t="s">
        <v>223</v>
      </c>
      <c r="D96" s="83">
        <v>24.6</v>
      </c>
      <c r="E96" s="61">
        <v>22.75</v>
      </c>
      <c r="F96" s="80">
        <v>23.82</v>
      </c>
      <c r="G96" s="86">
        <f>1950/39965</f>
        <v>4.8792693606906044E-2</v>
      </c>
      <c r="H96" s="62"/>
      <c r="I96" s="62"/>
      <c r="J96" s="62"/>
      <c r="K96" s="62"/>
      <c r="L96" s="62"/>
      <c r="M96" s="62"/>
      <c r="N96" s="62"/>
    </row>
    <row r="97" spans="1:14" x14ac:dyDescent="0.2">
      <c r="A97" s="4"/>
      <c r="B97" s="316"/>
      <c r="C97" s="5" t="s">
        <v>93</v>
      </c>
      <c r="D97" s="79">
        <v>21.15</v>
      </c>
      <c r="E97" s="61">
        <f>E95+E96/2</f>
        <v>30.245000000000001</v>
      </c>
      <c r="F97" s="80">
        <v>23.58</v>
      </c>
      <c r="G97" s="96">
        <f>SUM(G93:G96)/3</f>
        <v>7.1129258003391524E-2</v>
      </c>
      <c r="H97" s="62"/>
      <c r="I97" s="62"/>
      <c r="J97" s="62"/>
      <c r="K97" s="66"/>
      <c r="L97" s="62"/>
      <c r="M97" s="62"/>
      <c r="N97" s="62"/>
    </row>
    <row r="98" spans="1:14" x14ac:dyDescent="0.2">
      <c r="A98" s="4"/>
      <c r="B98" s="67" t="s">
        <v>96</v>
      </c>
      <c r="C98" s="5" t="s">
        <v>221</v>
      </c>
      <c r="D98" s="79">
        <v>34.76</v>
      </c>
      <c r="E98" s="61">
        <v>12.95</v>
      </c>
      <c r="F98" s="80">
        <v>16.489999999999998</v>
      </c>
      <c r="G98" s="80">
        <f>2798.78/100.05</f>
        <v>27.973813093453277</v>
      </c>
      <c r="H98" s="62"/>
      <c r="I98" s="62"/>
      <c r="J98" s="62"/>
      <c r="K98" s="62"/>
      <c r="L98" s="62"/>
      <c r="M98" s="62"/>
      <c r="N98" s="62"/>
    </row>
    <row r="99" spans="1:14" x14ac:dyDescent="0.2">
      <c r="A99" s="4"/>
      <c r="B99" s="69"/>
      <c r="C99" s="5" t="s">
        <v>92</v>
      </c>
      <c r="D99" s="79"/>
      <c r="E99" s="61"/>
      <c r="F99" s="80"/>
      <c r="G99" s="80"/>
      <c r="H99" s="62"/>
      <c r="I99" s="62"/>
      <c r="J99" s="62"/>
      <c r="K99" s="62"/>
      <c r="L99" s="62"/>
      <c r="M99" s="62"/>
      <c r="N99" s="62"/>
    </row>
    <row r="100" spans="1:14" x14ac:dyDescent="0.2">
      <c r="A100" s="4"/>
      <c r="B100" s="69"/>
      <c r="C100" s="82" t="s">
        <v>222</v>
      </c>
      <c r="D100" s="79">
        <v>25.5</v>
      </c>
      <c r="E100" s="61">
        <v>33.700000000000003</v>
      </c>
      <c r="F100" s="80">
        <v>31.61</v>
      </c>
      <c r="G100" s="80">
        <f>22257/252.1</f>
        <v>88.286394287980968</v>
      </c>
      <c r="H100" s="62"/>
      <c r="I100" s="62"/>
      <c r="J100" s="62"/>
      <c r="K100" s="62"/>
      <c r="L100" s="62"/>
      <c r="M100" s="62"/>
      <c r="N100" s="62"/>
    </row>
    <row r="101" spans="1:14" x14ac:dyDescent="0.2">
      <c r="A101" s="4"/>
      <c r="B101" s="69"/>
      <c r="C101" s="82" t="s">
        <v>223</v>
      </c>
      <c r="D101" s="79">
        <v>259.39999999999998</v>
      </c>
      <c r="E101" s="61">
        <v>242.29</v>
      </c>
      <c r="F101" s="80">
        <v>290.39999999999998</v>
      </c>
      <c r="G101" s="80">
        <f>39965/123.3</f>
        <v>324.12814274128141</v>
      </c>
      <c r="H101" s="62"/>
      <c r="I101" s="62"/>
      <c r="J101" s="62"/>
      <c r="K101" s="62"/>
      <c r="L101" s="62"/>
      <c r="M101" s="62"/>
      <c r="N101" s="62"/>
    </row>
    <row r="102" spans="1:14" x14ac:dyDescent="0.2">
      <c r="A102" s="4"/>
      <c r="B102" s="69"/>
      <c r="C102" s="5" t="s">
        <v>93</v>
      </c>
      <c r="D102" s="79">
        <v>142.44999999999999</v>
      </c>
      <c r="E102" s="61">
        <f>E100+E101/2</f>
        <v>154.845</v>
      </c>
      <c r="F102" s="80">
        <v>112.83</v>
      </c>
      <c r="G102" s="95">
        <f>SUM(G98:G101)/3</f>
        <v>146.79611670757188</v>
      </c>
      <c r="H102" s="62"/>
      <c r="I102" s="62"/>
      <c r="J102" s="62"/>
      <c r="K102" s="62"/>
      <c r="L102" s="62"/>
      <c r="M102" s="62"/>
      <c r="N102" s="62"/>
    </row>
    <row r="103" spans="1:14" x14ac:dyDescent="0.25">
      <c r="A103" s="4"/>
      <c r="B103" s="376" t="s">
        <v>224</v>
      </c>
      <c r="C103" s="377"/>
      <c r="D103" s="377"/>
      <c r="E103" s="377"/>
      <c r="F103" s="377"/>
      <c r="G103" s="378"/>
      <c r="H103" s="62"/>
      <c r="I103" s="62"/>
      <c r="J103" s="62"/>
      <c r="K103" s="62"/>
      <c r="L103" s="62"/>
      <c r="M103" s="62"/>
      <c r="N103" s="62"/>
    </row>
    <row r="104" spans="1:14" x14ac:dyDescent="0.25">
      <c r="A104" s="4"/>
      <c r="B104" s="379" t="s">
        <v>128</v>
      </c>
      <c r="C104" s="380"/>
      <c r="D104" s="380"/>
      <c r="E104" s="380"/>
      <c r="F104" s="380"/>
      <c r="G104" s="381"/>
      <c r="H104" s="62"/>
      <c r="I104" s="62"/>
      <c r="J104" s="62"/>
      <c r="K104" s="62"/>
      <c r="L104" s="62"/>
      <c r="M104" s="62"/>
      <c r="N104" s="62"/>
    </row>
    <row r="105" spans="1:14" x14ac:dyDescent="0.25">
      <c r="A105" s="4"/>
      <c r="B105" s="353"/>
      <c r="C105" s="354"/>
      <c r="D105" s="354"/>
      <c r="E105" s="354"/>
      <c r="F105" s="354"/>
      <c r="G105" s="355"/>
      <c r="H105" s="62"/>
      <c r="I105" s="62"/>
      <c r="J105" s="62"/>
      <c r="K105" s="62"/>
      <c r="L105" s="62"/>
      <c r="M105" s="62"/>
      <c r="N105" s="62"/>
    </row>
    <row r="106" spans="1:14" x14ac:dyDescent="0.25">
      <c r="A106" s="26"/>
      <c r="B106" s="12"/>
      <c r="C106" s="323"/>
      <c r="D106" s="323"/>
      <c r="E106" s="323"/>
      <c r="F106" s="323"/>
      <c r="G106" s="323"/>
      <c r="H106" s="62"/>
      <c r="I106" s="62"/>
      <c r="J106" s="26"/>
      <c r="K106" s="26"/>
      <c r="L106" s="26"/>
      <c r="M106" s="26"/>
      <c r="N106" s="26"/>
    </row>
    <row r="107" spans="1:14" x14ac:dyDescent="0.25">
      <c r="A107" s="13">
        <v>14</v>
      </c>
      <c r="B107" s="70" t="s">
        <v>99</v>
      </c>
      <c r="C107" s="324" t="s">
        <v>16</v>
      </c>
      <c r="D107" s="325"/>
      <c r="E107" s="325"/>
      <c r="F107" s="325"/>
      <c r="G107" s="326"/>
      <c r="H107" s="26"/>
      <c r="I107" s="26"/>
      <c r="J107" s="26"/>
      <c r="K107" s="26"/>
      <c r="L107" s="26"/>
      <c r="M107" s="26"/>
      <c r="N107" s="26"/>
    </row>
    <row r="108" spans="1:14" x14ac:dyDescent="0.25">
      <c r="A108" s="71"/>
      <c r="B108" s="26"/>
      <c r="C108" s="84"/>
      <c r="D108" s="84"/>
      <c r="E108" s="84"/>
      <c r="F108" s="84"/>
      <c r="G108" s="84"/>
      <c r="H108" s="26"/>
      <c r="I108" s="26"/>
      <c r="J108" s="26"/>
      <c r="K108" s="26"/>
      <c r="L108" s="26"/>
      <c r="M108" s="26"/>
      <c r="N108" s="26"/>
    </row>
    <row r="109" spans="1:14" x14ac:dyDescent="0.25">
      <c r="A109" s="26"/>
      <c r="B109" s="374" t="s">
        <v>225</v>
      </c>
      <c r="C109" s="375"/>
      <c r="D109" s="375"/>
      <c r="E109" s="375"/>
      <c r="F109" s="375"/>
      <c r="G109" s="375"/>
      <c r="H109" s="375"/>
      <c r="I109" s="26"/>
      <c r="J109" s="26"/>
      <c r="K109" s="26"/>
      <c r="L109" s="26"/>
      <c r="M109" s="26"/>
      <c r="N109" s="26"/>
    </row>
    <row r="110" spans="1:14" x14ac:dyDescent="0.25">
      <c r="A110" s="26"/>
      <c r="B110" s="26"/>
      <c r="C110" s="26"/>
      <c r="D110" s="26"/>
      <c r="E110" s="26"/>
      <c r="F110" s="26"/>
      <c r="G110" s="26"/>
      <c r="H110" s="26"/>
      <c r="I110" s="26"/>
      <c r="J110" s="26"/>
      <c r="K110" s="26"/>
      <c r="L110" s="26"/>
      <c r="M110" s="26"/>
      <c r="N110" s="26"/>
    </row>
    <row r="111" spans="1:14" x14ac:dyDescent="0.25">
      <c r="A111" s="26"/>
      <c r="B111" s="26"/>
      <c r="C111" s="26"/>
      <c r="D111" s="26"/>
      <c r="E111" s="26"/>
      <c r="F111" s="26"/>
      <c r="G111" s="26"/>
      <c r="H111" s="26"/>
      <c r="I111" s="26"/>
      <c r="J111" s="26"/>
      <c r="K111" s="26"/>
      <c r="L111" s="26"/>
      <c r="M111" s="26"/>
      <c r="N111" s="26"/>
    </row>
  </sheetData>
  <sheetProtection password="E9DF" sheet="1" objects="1" scenarios="1"/>
  <mergeCells count="58">
    <mergeCell ref="C21:E21"/>
    <mergeCell ref="A1:B1"/>
    <mergeCell ref="C5:E5"/>
    <mergeCell ref="B6:D6"/>
    <mergeCell ref="B9:D9"/>
    <mergeCell ref="C11:E11"/>
    <mergeCell ref="B12:D12"/>
    <mergeCell ref="B15:C15"/>
    <mergeCell ref="B17:E17"/>
    <mergeCell ref="C18:E18"/>
    <mergeCell ref="C19:E19"/>
    <mergeCell ref="C20:E20"/>
    <mergeCell ref="B46:E46"/>
    <mergeCell ref="C22:E22"/>
    <mergeCell ref="B23:E23"/>
    <mergeCell ref="B26:E26"/>
    <mergeCell ref="B27:E27"/>
    <mergeCell ref="B33:E33"/>
    <mergeCell ref="B35:E35"/>
    <mergeCell ref="B39:C39"/>
    <mergeCell ref="B42:E42"/>
    <mergeCell ref="C43:E43"/>
    <mergeCell ref="C44:E44"/>
    <mergeCell ref="C45:E45"/>
    <mergeCell ref="B48:E48"/>
    <mergeCell ref="B51:E51"/>
    <mergeCell ref="B53:E53"/>
    <mergeCell ref="B54:B55"/>
    <mergeCell ref="C54:E54"/>
    <mergeCell ref="C55:E55"/>
    <mergeCell ref="C56:E56"/>
    <mergeCell ref="C57:E57"/>
    <mergeCell ref="B58:E58"/>
    <mergeCell ref="B59:E59"/>
    <mergeCell ref="C62:E62"/>
    <mergeCell ref="B88:B92"/>
    <mergeCell ref="F68:H68"/>
    <mergeCell ref="I68:K68"/>
    <mergeCell ref="L68:N68"/>
    <mergeCell ref="B73:N73"/>
    <mergeCell ref="B74:N74"/>
    <mergeCell ref="B75:N75"/>
    <mergeCell ref="B68:B69"/>
    <mergeCell ref="C68:C69"/>
    <mergeCell ref="D68:D69"/>
    <mergeCell ref="E68:E69"/>
    <mergeCell ref="B76:N76"/>
    <mergeCell ref="B77:N77"/>
    <mergeCell ref="B78:N78"/>
    <mergeCell ref="B80:G80"/>
    <mergeCell ref="B83:B87"/>
    <mergeCell ref="B109:H109"/>
    <mergeCell ref="B93:B97"/>
    <mergeCell ref="B103:G103"/>
    <mergeCell ref="B104:G104"/>
    <mergeCell ref="B105:G105"/>
    <mergeCell ref="C106:G106"/>
    <mergeCell ref="C107:G10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opLeftCell="A45" workbookViewId="0">
      <selection activeCell="B58" sqref="B58:E58"/>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9.85546875" style="73"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226</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5</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131</v>
      </c>
      <c r="D8" s="9"/>
      <c r="E8" s="12"/>
      <c r="F8" s="12"/>
      <c r="G8" s="12"/>
      <c r="H8" s="12"/>
      <c r="I8" s="12"/>
      <c r="J8" s="12"/>
      <c r="K8" s="12"/>
      <c r="L8" s="12"/>
      <c r="M8" s="12"/>
      <c r="N8" s="12"/>
    </row>
    <row r="9" spans="1:25" ht="16.149999999999999" customHeight="1" x14ac:dyDescent="0.25">
      <c r="A9" s="13"/>
      <c r="B9" s="382" t="s">
        <v>6</v>
      </c>
      <c r="C9" s="382"/>
      <c r="D9" s="38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227</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155</v>
      </c>
      <c r="C19" s="363" t="s">
        <v>16</v>
      </c>
      <c r="D19" s="363"/>
      <c r="E19" s="363"/>
      <c r="F19" s="19" t="s">
        <v>742</v>
      </c>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97"/>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133</v>
      </c>
      <c r="D28" s="22" t="s">
        <v>26</v>
      </c>
      <c r="E28" s="22" t="s">
        <v>27</v>
      </c>
      <c r="F28" s="19"/>
      <c r="G28" s="26"/>
      <c r="H28" s="26"/>
      <c r="I28" s="26"/>
      <c r="J28" s="26"/>
      <c r="K28" s="26"/>
      <c r="L28" s="26"/>
      <c r="M28" s="26"/>
      <c r="N28" s="26"/>
    </row>
    <row r="29" spans="1:14" ht="12.75" customHeight="1" x14ac:dyDescent="0.25">
      <c r="A29" s="13"/>
      <c r="B29" s="23" t="s">
        <v>28</v>
      </c>
      <c r="C29" s="24">
        <v>2314.6</v>
      </c>
      <c r="D29" s="24">
        <v>3306.13</v>
      </c>
      <c r="E29" s="24">
        <v>5511.24</v>
      </c>
      <c r="F29" s="19"/>
      <c r="G29" s="26"/>
      <c r="H29" s="26"/>
      <c r="I29" s="26"/>
      <c r="J29" s="26"/>
      <c r="K29" s="26"/>
      <c r="L29" s="26"/>
      <c r="M29" s="26"/>
      <c r="N29" s="26"/>
    </row>
    <row r="30" spans="1:14" x14ac:dyDescent="0.25">
      <c r="A30" s="13"/>
      <c r="B30" s="23" t="s">
        <v>29</v>
      </c>
      <c r="C30" s="24">
        <v>34.44</v>
      </c>
      <c r="D30" s="24">
        <v>81.2</v>
      </c>
      <c r="E30" s="24">
        <v>342.43</v>
      </c>
      <c r="F30" s="19"/>
      <c r="G30" s="26"/>
      <c r="H30" s="26"/>
      <c r="I30" s="26"/>
      <c r="J30" s="26"/>
      <c r="K30" s="26"/>
      <c r="L30" s="26"/>
      <c r="M30" s="26"/>
      <c r="N30" s="26"/>
    </row>
    <row r="31" spans="1:14" x14ac:dyDescent="0.25">
      <c r="A31" s="13"/>
      <c r="B31" s="23" t="s">
        <v>30</v>
      </c>
      <c r="C31" s="24">
        <v>479.6</v>
      </c>
      <c r="D31" s="24">
        <v>599.5</v>
      </c>
      <c r="E31" s="24">
        <v>599.5</v>
      </c>
      <c r="F31" s="19"/>
      <c r="G31" s="26"/>
      <c r="H31" s="26"/>
      <c r="I31" s="26"/>
      <c r="J31" s="26"/>
      <c r="K31" s="26"/>
      <c r="L31" s="26"/>
      <c r="M31" s="26"/>
      <c r="N31" s="26"/>
    </row>
    <row r="32" spans="1:14" x14ac:dyDescent="0.25">
      <c r="A32" s="13"/>
      <c r="B32" s="23" t="s">
        <v>31</v>
      </c>
      <c r="C32" s="24">
        <v>333.19</v>
      </c>
      <c r="D32" s="24">
        <v>294.49</v>
      </c>
      <c r="E32" s="24">
        <v>600.84</v>
      </c>
      <c r="F32" s="19"/>
      <c r="G32" s="26"/>
      <c r="H32" s="26"/>
      <c r="I32" s="26"/>
      <c r="J32" s="26"/>
      <c r="K32" s="26"/>
      <c r="L32" s="26"/>
      <c r="M32" s="26"/>
      <c r="N32" s="26"/>
    </row>
    <row r="33" spans="1:14" x14ac:dyDescent="0.25">
      <c r="A33" s="13"/>
      <c r="B33" s="353" t="s">
        <v>228</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35</v>
      </c>
      <c r="D36" s="17"/>
      <c r="E36" s="17"/>
      <c r="F36" s="17"/>
      <c r="G36" s="26"/>
      <c r="H36" s="26"/>
      <c r="I36" s="26"/>
      <c r="J36" s="26"/>
      <c r="K36" s="26"/>
      <c r="L36" s="26"/>
      <c r="M36" s="26"/>
      <c r="N36" s="26"/>
    </row>
    <row r="37" spans="1:14" x14ac:dyDescent="0.25">
      <c r="A37" s="13"/>
      <c r="B37" s="21" t="s">
        <v>36</v>
      </c>
      <c r="C37" s="24" t="s">
        <v>35</v>
      </c>
      <c r="D37" s="17"/>
      <c r="E37" s="17"/>
      <c r="F37" s="17"/>
      <c r="G37" s="26"/>
      <c r="H37" s="26"/>
      <c r="I37" s="26"/>
      <c r="J37" s="26"/>
      <c r="K37" s="26"/>
      <c r="L37" s="26"/>
      <c r="M37" s="26"/>
      <c r="N37" s="26"/>
    </row>
    <row r="38" spans="1:14" x14ac:dyDescent="0.25">
      <c r="A38" s="13"/>
      <c r="B38" s="27" t="s">
        <v>37</v>
      </c>
      <c r="C38" s="24" t="s">
        <v>35</v>
      </c>
      <c r="D38" s="17"/>
      <c r="E38" s="17"/>
      <c r="F38" s="17"/>
      <c r="G38" s="26"/>
      <c r="H38" s="26"/>
      <c r="I38" s="26"/>
      <c r="J38" s="26"/>
      <c r="K38" s="26"/>
      <c r="L38" s="26"/>
      <c r="M38" s="26"/>
      <c r="N38" s="26"/>
    </row>
    <row r="39" spans="1:14" x14ac:dyDescent="0.25">
      <c r="A39" s="13"/>
      <c r="B39" s="382" t="s">
        <v>206</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229</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230</v>
      </c>
      <c r="E49" s="32" t="s">
        <v>45</v>
      </c>
      <c r="F49" s="26"/>
      <c r="G49" s="26"/>
      <c r="H49" s="26"/>
      <c r="I49" s="26"/>
      <c r="J49" s="26"/>
      <c r="K49" s="26"/>
      <c r="L49" s="26"/>
      <c r="M49" s="26"/>
    </row>
    <row r="50" spans="1:14" ht="25.5" x14ac:dyDescent="0.25">
      <c r="A50" s="34"/>
      <c r="B50" s="35" t="s">
        <v>208</v>
      </c>
      <c r="C50" s="35" t="s">
        <v>231</v>
      </c>
      <c r="D50" s="94" t="s">
        <v>181</v>
      </c>
      <c r="E50" s="6" t="s">
        <v>48</v>
      </c>
      <c r="F50" s="26"/>
      <c r="G50" s="26"/>
      <c r="H50" s="26"/>
      <c r="I50" s="26"/>
      <c r="J50" s="26"/>
      <c r="K50" s="26"/>
      <c r="L50" s="26"/>
      <c r="M50" s="26"/>
    </row>
    <row r="51" spans="1:14" x14ac:dyDescent="0.25">
      <c r="A51" s="36"/>
      <c r="B51" s="403" t="s">
        <v>232</v>
      </c>
      <c r="C51" s="404"/>
      <c r="D51" s="404"/>
      <c r="E51" s="405"/>
      <c r="F51" s="19"/>
      <c r="G51" s="19"/>
      <c r="H51" s="19"/>
      <c r="I51" s="26"/>
      <c r="J51" s="26"/>
      <c r="K51" s="26"/>
      <c r="L51" s="26"/>
      <c r="M51" s="26"/>
    </row>
    <row r="52" spans="1:14" x14ac:dyDescent="0.25">
      <c r="A52" s="37"/>
      <c r="B52" s="75"/>
      <c r="C52" s="28"/>
      <c r="D52" s="28"/>
      <c r="E52" s="28"/>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
      <c r="A54" s="34"/>
      <c r="B54" s="357" t="s">
        <v>50</v>
      </c>
      <c r="C54" s="360" t="s">
        <v>233</v>
      </c>
      <c r="D54" s="361"/>
      <c r="E54" s="362"/>
      <c r="F54" s="26"/>
      <c r="G54" s="26"/>
      <c r="H54" s="26"/>
      <c r="I54" s="26"/>
      <c r="J54" s="26"/>
      <c r="K54" s="2"/>
      <c r="L54" s="26"/>
      <c r="M54" s="26"/>
    </row>
    <row r="55" spans="1:14" x14ac:dyDescent="0.2">
      <c r="A55" s="34"/>
      <c r="B55" s="358"/>
      <c r="C55" s="360" t="s">
        <v>234</v>
      </c>
      <c r="D55" s="361"/>
      <c r="E55" s="362"/>
      <c r="F55" s="26"/>
      <c r="G55" s="26"/>
      <c r="H55" s="26"/>
      <c r="I55" s="26"/>
      <c r="J55" s="26"/>
      <c r="K55" s="2"/>
      <c r="L55" s="26"/>
      <c r="M55" s="26"/>
    </row>
    <row r="56" spans="1:14" x14ac:dyDescent="0.25">
      <c r="A56" s="29"/>
      <c r="B56" s="39" t="s">
        <v>54</v>
      </c>
      <c r="C56" s="341" t="s">
        <v>181</v>
      </c>
      <c r="D56" s="342"/>
      <c r="E56" s="343"/>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403"/>
      <c r="C58" s="404"/>
      <c r="D58" s="404"/>
      <c r="E58" s="405"/>
      <c r="F58" s="26"/>
      <c r="G58" s="26"/>
      <c r="H58" s="26"/>
      <c r="I58" s="26"/>
      <c r="J58" s="26"/>
      <c r="K58" s="40"/>
      <c r="L58" s="26"/>
      <c r="M58" s="26"/>
    </row>
    <row r="59" spans="1:14" s="76" customFormat="1" x14ac:dyDescent="0.2">
      <c r="A59" s="41" t="s">
        <v>57</v>
      </c>
      <c r="B59" s="384" t="s">
        <v>58</v>
      </c>
      <c r="C59" s="384"/>
      <c r="D59" s="384"/>
      <c r="E59" s="384"/>
    </row>
    <row r="60" spans="1:14" x14ac:dyDescent="0.25">
      <c r="A60" s="43"/>
      <c r="B60" s="44"/>
      <c r="C60" s="45"/>
      <c r="D60" s="46"/>
      <c r="E60" s="47"/>
      <c r="F60" s="40"/>
      <c r="G60" s="40"/>
      <c r="H60" s="40"/>
      <c r="I60" s="40"/>
      <c r="J60" s="40"/>
      <c r="K60" s="40"/>
      <c r="L60" s="40"/>
      <c r="M60" s="26"/>
      <c r="N60" s="26"/>
    </row>
    <row r="61" spans="1:14" x14ac:dyDescent="0.25">
      <c r="A61" s="48"/>
      <c r="B61" s="49"/>
      <c r="C61" s="50"/>
      <c r="D61" s="50"/>
      <c r="E61" s="50"/>
      <c r="F61" s="50"/>
      <c r="G61" s="12"/>
      <c r="H61" s="12"/>
      <c r="I61" s="12"/>
      <c r="J61" s="12"/>
      <c r="K61" s="12"/>
      <c r="L61" s="12"/>
      <c r="M61" s="26"/>
      <c r="N61" s="26"/>
    </row>
    <row r="62" spans="1:14" x14ac:dyDescent="0.25">
      <c r="A62" s="13">
        <v>11</v>
      </c>
      <c r="B62" s="5" t="s">
        <v>59</v>
      </c>
      <c r="C62" s="349" t="s">
        <v>60</v>
      </c>
      <c r="D62" s="349"/>
      <c r="E62" s="349"/>
      <c r="F62" s="15"/>
      <c r="G62" s="15"/>
      <c r="H62" s="51"/>
      <c r="I62" s="15"/>
      <c r="J62" s="15"/>
      <c r="K62" s="26"/>
      <c r="L62" s="12"/>
      <c r="M62" s="26"/>
      <c r="N62" s="26"/>
    </row>
    <row r="63" spans="1:14" x14ac:dyDescent="0.25">
      <c r="A63" s="13"/>
      <c r="B63" s="19"/>
      <c r="C63" s="19"/>
      <c r="D63" s="19"/>
      <c r="E63" s="19"/>
      <c r="F63" s="19"/>
      <c r="G63" s="19"/>
      <c r="H63" s="52"/>
      <c r="I63" s="52"/>
      <c r="J63" s="19"/>
      <c r="K63" s="26"/>
      <c r="L63" s="26"/>
      <c r="M63" s="26"/>
      <c r="N63" s="26"/>
    </row>
    <row r="64" spans="1:14" x14ac:dyDescent="0.25">
      <c r="A64" s="13">
        <v>12</v>
      </c>
      <c r="B64" s="15" t="s">
        <v>61</v>
      </c>
      <c r="C64" s="15"/>
      <c r="D64" s="15"/>
      <c r="E64" s="15"/>
      <c r="F64" s="15"/>
      <c r="G64" s="15"/>
      <c r="H64" s="15"/>
      <c r="I64" s="15"/>
      <c r="J64" s="15"/>
      <c r="K64" s="15"/>
      <c r="L64" s="15"/>
      <c r="M64" s="15"/>
      <c r="N64" s="15"/>
    </row>
    <row r="65" spans="1:14" x14ac:dyDescent="0.25">
      <c r="A65" s="13"/>
      <c r="B65" s="15"/>
      <c r="C65" s="15"/>
      <c r="D65" s="15"/>
      <c r="E65" s="15"/>
      <c r="F65" s="15"/>
      <c r="G65" s="15"/>
      <c r="H65" s="15"/>
      <c r="I65" s="15"/>
      <c r="J65" s="15"/>
      <c r="K65" s="15"/>
      <c r="L65" s="15"/>
      <c r="M65" s="15"/>
      <c r="N65" s="15"/>
    </row>
    <row r="66" spans="1:14" x14ac:dyDescent="0.25">
      <c r="A66" s="13"/>
      <c r="B66" s="21" t="s">
        <v>62</v>
      </c>
      <c r="C66" s="23" t="s">
        <v>235</v>
      </c>
      <c r="D66" s="19"/>
      <c r="F66" s="19"/>
      <c r="G66" s="52"/>
      <c r="H66" s="52"/>
      <c r="I66" s="19"/>
      <c r="J66" s="19"/>
      <c r="K66" s="19"/>
      <c r="L66" s="19"/>
      <c r="M66" s="19"/>
      <c r="N66" s="19"/>
    </row>
    <row r="67" spans="1:14" x14ac:dyDescent="0.25">
      <c r="A67" s="13"/>
      <c r="B67" s="19"/>
      <c r="C67" s="19"/>
      <c r="D67" s="19"/>
      <c r="E67" s="19"/>
      <c r="F67" s="19"/>
      <c r="G67" s="19"/>
      <c r="H67" s="19"/>
      <c r="I67" s="19"/>
      <c r="J67" s="19"/>
      <c r="K67" s="19"/>
      <c r="L67" s="19"/>
      <c r="M67" s="19"/>
      <c r="N67" s="19"/>
    </row>
    <row r="68" spans="1:14" x14ac:dyDescent="0.25">
      <c r="A68" s="13"/>
      <c r="B68" s="333" t="s">
        <v>64</v>
      </c>
      <c r="C68" s="372" t="s">
        <v>216</v>
      </c>
      <c r="D68" s="372" t="s">
        <v>217</v>
      </c>
      <c r="E68" s="336" t="s">
        <v>218</v>
      </c>
      <c r="F68" s="327" t="s">
        <v>68</v>
      </c>
      <c r="G68" s="328"/>
      <c r="H68" s="329"/>
      <c r="I68" s="330" t="s">
        <v>69</v>
      </c>
      <c r="J68" s="330"/>
      <c r="K68" s="330"/>
      <c r="L68" s="330" t="s">
        <v>70</v>
      </c>
      <c r="M68" s="330"/>
      <c r="N68" s="330"/>
    </row>
    <row r="69" spans="1:14" ht="38.25" x14ac:dyDescent="0.25">
      <c r="A69" s="4"/>
      <c r="B69" s="333"/>
      <c r="C69" s="335"/>
      <c r="D69" s="335"/>
      <c r="E69" s="337"/>
      <c r="F69" s="21" t="s">
        <v>71</v>
      </c>
      <c r="G69" s="21" t="s">
        <v>72</v>
      </c>
      <c r="H69" s="21" t="s">
        <v>73</v>
      </c>
      <c r="I69" s="21" t="s">
        <v>74</v>
      </c>
      <c r="J69" s="21" t="s">
        <v>72</v>
      </c>
      <c r="K69" s="21" t="s">
        <v>73</v>
      </c>
      <c r="L69" s="21" t="s">
        <v>74</v>
      </c>
      <c r="M69" s="21" t="s">
        <v>72</v>
      </c>
      <c r="N69" s="21" t="s">
        <v>73</v>
      </c>
    </row>
    <row r="70" spans="1:14" x14ac:dyDescent="0.25">
      <c r="A70" s="4"/>
      <c r="B70" s="53" t="s">
        <v>75</v>
      </c>
      <c r="C70" s="53">
        <v>27.3</v>
      </c>
      <c r="D70" s="53">
        <v>30.5</v>
      </c>
      <c r="E70" s="53">
        <v>29.1</v>
      </c>
      <c r="F70" s="53">
        <v>29</v>
      </c>
      <c r="G70" s="53">
        <v>36.9</v>
      </c>
      <c r="H70" s="53">
        <v>26</v>
      </c>
      <c r="I70" s="53">
        <v>30.65</v>
      </c>
      <c r="J70" s="53">
        <v>37</v>
      </c>
      <c r="K70" s="53">
        <v>26.5</v>
      </c>
      <c r="L70" s="53">
        <v>59.5</v>
      </c>
      <c r="M70" s="53">
        <v>78</v>
      </c>
      <c r="N70" s="53">
        <v>26.5</v>
      </c>
    </row>
    <row r="71" spans="1:14" ht="25.5" x14ac:dyDescent="0.2">
      <c r="A71" s="4"/>
      <c r="B71" s="53" t="s">
        <v>76</v>
      </c>
      <c r="C71" s="53">
        <v>27010.14</v>
      </c>
      <c r="D71" s="53">
        <v>25610.53</v>
      </c>
      <c r="E71" s="53">
        <v>24682.03</v>
      </c>
      <c r="F71" s="53">
        <v>25341.86</v>
      </c>
      <c r="G71" s="53">
        <v>29094.61</v>
      </c>
      <c r="H71" s="53">
        <v>22494.61</v>
      </c>
      <c r="I71" s="53">
        <v>29620.5</v>
      </c>
      <c r="J71" s="53">
        <v>27984.37</v>
      </c>
      <c r="K71" s="53">
        <v>28294.28</v>
      </c>
      <c r="L71" s="54">
        <v>32968.68</v>
      </c>
      <c r="M71" s="54">
        <v>36443.980000000003</v>
      </c>
      <c r="N71" s="56">
        <v>29241.48</v>
      </c>
    </row>
    <row r="72" spans="1:14" x14ac:dyDescent="0.25">
      <c r="A72" s="4"/>
      <c r="B72" s="53" t="s">
        <v>219</v>
      </c>
      <c r="C72" s="53">
        <v>789.26</v>
      </c>
      <c r="D72" s="53">
        <v>759.83</v>
      </c>
      <c r="E72" s="53">
        <v>790.51</v>
      </c>
      <c r="F72" s="53">
        <v>767.86</v>
      </c>
      <c r="G72" s="53">
        <v>948</v>
      </c>
      <c r="H72" s="53">
        <v>731.23</v>
      </c>
      <c r="I72" s="53">
        <v>1288.8800000000001</v>
      </c>
      <c r="J72" s="53">
        <v>1025.57</v>
      </c>
      <c r="K72" s="53">
        <v>1002.86</v>
      </c>
      <c r="L72" s="53" t="s">
        <v>48</v>
      </c>
      <c r="M72" s="53" t="s">
        <v>48</v>
      </c>
      <c r="N72" s="53" t="s">
        <v>48</v>
      </c>
    </row>
    <row r="73" spans="1:14" ht="25.5" x14ac:dyDescent="0.25">
      <c r="A73" s="4"/>
      <c r="B73" s="53" t="s">
        <v>236</v>
      </c>
      <c r="C73" s="53"/>
      <c r="D73" s="53"/>
      <c r="E73" s="53"/>
      <c r="F73" s="53"/>
      <c r="G73" s="53"/>
      <c r="H73" s="53"/>
      <c r="I73" s="53"/>
      <c r="J73" s="53"/>
      <c r="K73" s="53"/>
      <c r="L73" s="53"/>
      <c r="M73" s="53"/>
      <c r="N73" s="53"/>
    </row>
    <row r="74" spans="1:14" ht="13.5" x14ac:dyDescent="0.25">
      <c r="A74" s="4"/>
      <c r="B74" s="383" t="s">
        <v>21</v>
      </c>
      <c r="C74" s="383"/>
      <c r="D74" s="383"/>
      <c r="E74" s="383"/>
      <c r="F74" s="383"/>
      <c r="G74" s="383"/>
      <c r="H74" s="383"/>
      <c r="I74" s="383"/>
      <c r="J74" s="383"/>
      <c r="K74" s="383"/>
      <c r="L74" s="383"/>
      <c r="M74" s="383"/>
      <c r="N74" s="383"/>
    </row>
    <row r="75" spans="1:14" x14ac:dyDescent="0.25">
      <c r="A75" s="4"/>
      <c r="B75" s="382" t="s">
        <v>79</v>
      </c>
      <c r="C75" s="382"/>
      <c r="D75" s="382"/>
      <c r="E75" s="382"/>
      <c r="F75" s="382"/>
      <c r="G75" s="382"/>
      <c r="H75" s="382"/>
      <c r="I75" s="382"/>
      <c r="J75" s="382"/>
      <c r="K75" s="382"/>
      <c r="L75" s="382"/>
      <c r="M75" s="382"/>
      <c r="N75" s="382"/>
    </row>
    <row r="76" spans="1:14" s="57" customFormat="1" x14ac:dyDescent="0.25">
      <c r="B76" s="382" t="s">
        <v>80</v>
      </c>
      <c r="C76" s="382"/>
      <c r="D76" s="382"/>
      <c r="E76" s="382"/>
      <c r="F76" s="382"/>
      <c r="G76" s="382"/>
      <c r="H76" s="382"/>
      <c r="I76" s="382"/>
      <c r="J76" s="382"/>
      <c r="K76" s="382"/>
      <c r="L76" s="382"/>
      <c r="M76" s="382"/>
      <c r="N76" s="382"/>
    </row>
    <row r="77" spans="1:14" x14ac:dyDescent="0.25">
      <c r="A77" s="4"/>
      <c r="B77" s="382" t="s">
        <v>117</v>
      </c>
      <c r="C77" s="382"/>
      <c r="D77" s="382"/>
      <c r="E77" s="382"/>
      <c r="F77" s="382"/>
      <c r="G77" s="382"/>
      <c r="H77" s="382"/>
      <c r="I77" s="382"/>
      <c r="J77" s="382"/>
      <c r="K77" s="382"/>
      <c r="L77" s="382"/>
      <c r="M77" s="382"/>
      <c r="N77" s="382"/>
    </row>
    <row r="78" spans="1:14" x14ac:dyDescent="0.25">
      <c r="A78" s="4"/>
      <c r="B78" s="382" t="s">
        <v>82</v>
      </c>
      <c r="C78" s="382"/>
      <c r="D78" s="382"/>
      <c r="E78" s="382"/>
      <c r="F78" s="382"/>
      <c r="G78" s="382"/>
      <c r="H78" s="382"/>
      <c r="I78" s="382"/>
      <c r="J78" s="382"/>
      <c r="K78" s="382"/>
      <c r="L78" s="382"/>
      <c r="M78" s="382"/>
      <c r="N78" s="382"/>
    </row>
    <row r="79" spans="1:14" x14ac:dyDescent="0.25">
      <c r="A79" s="4"/>
      <c r="B79" s="58"/>
      <c r="C79" s="58"/>
      <c r="D79" s="58"/>
      <c r="E79" s="58"/>
      <c r="F79" s="58"/>
      <c r="G79" s="17"/>
      <c r="H79" s="17"/>
      <c r="I79" s="17"/>
      <c r="J79" s="17"/>
      <c r="K79" s="17"/>
      <c r="L79" s="17"/>
      <c r="M79" s="17"/>
      <c r="N79" s="17"/>
    </row>
    <row r="80" spans="1:14" x14ac:dyDescent="0.25">
      <c r="A80" s="13">
        <v>13</v>
      </c>
      <c r="B80" s="338" t="s">
        <v>83</v>
      </c>
      <c r="C80" s="339"/>
      <c r="D80" s="339"/>
      <c r="E80" s="339"/>
      <c r="F80" s="339"/>
      <c r="G80" s="340"/>
      <c r="H80" s="15"/>
      <c r="I80" s="15"/>
      <c r="J80" s="15"/>
      <c r="K80" s="15"/>
      <c r="L80" s="15"/>
      <c r="M80" s="15"/>
      <c r="N80" s="15"/>
    </row>
    <row r="81" spans="1:14" x14ac:dyDescent="0.25">
      <c r="A81" s="13"/>
      <c r="B81" s="26"/>
      <c r="C81" s="19"/>
      <c r="D81" s="19"/>
      <c r="E81" s="19"/>
      <c r="F81" s="19"/>
      <c r="G81" s="19"/>
      <c r="H81" s="19"/>
      <c r="I81" s="19"/>
      <c r="J81" s="19"/>
      <c r="K81" s="19"/>
      <c r="L81" s="19"/>
      <c r="M81" s="19"/>
      <c r="N81" s="19"/>
    </row>
    <row r="82" spans="1:14" ht="102" x14ac:dyDescent="0.25">
      <c r="A82" s="4"/>
      <c r="B82" s="59" t="s">
        <v>84</v>
      </c>
      <c r="C82" s="22" t="s">
        <v>85</v>
      </c>
      <c r="D82" s="22" t="s">
        <v>86</v>
      </c>
      <c r="E82" s="22" t="s">
        <v>143</v>
      </c>
      <c r="F82" s="22" t="s">
        <v>88</v>
      </c>
      <c r="G82" s="22" t="s">
        <v>119</v>
      </c>
      <c r="H82" s="17"/>
      <c r="I82" s="17"/>
      <c r="J82" s="17"/>
      <c r="K82" s="17"/>
      <c r="L82" s="17"/>
      <c r="M82" s="17"/>
      <c r="N82" s="17"/>
    </row>
    <row r="83" spans="1:14" x14ac:dyDescent="0.2">
      <c r="A83" s="4"/>
      <c r="B83" s="316" t="s">
        <v>90</v>
      </c>
      <c r="C83" s="5" t="s">
        <v>237</v>
      </c>
      <c r="D83" s="98">
        <v>4.8600000000000003</v>
      </c>
      <c r="E83" s="80">
        <v>0.84</v>
      </c>
      <c r="F83" s="80">
        <v>1.35</v>
      </c>
      <c r="G83" s="80">
        <v>5.71</v>
      </c>
      <c r="H83" s="62"/>
      <c r="I83" s="62"/>
      <c r="J83" s="62"/>
      <c r="K83" s="62"/>
      <c r="L83" s="62"/>
      <c r="M83" s="62"/>
      <c r="N83" s="62"/>
    </row>
    <row r="84" spans="1:14" x14ac:dyDescent="0.25">
      <c r="A84" s="4"/>
      <c r="B84" s="316"/>
      <c r="C84" s="5" t="s">
        <v>92</v>
      </c>
      <c r="D84" s="99"/>
      <c r="E84" s="80"/>
      <c r="F84" s="80"/>
      <c r="G84" s="80"/>
      <c r="H84" s="62"/>
      <c r="I84" s="62"/>
      <c r="J84" s="62"/>
      <c r="K84" s="62"/>
      <c r="L84" s="62"/>
      <c r="M84" s="62"/>
      <c r="N84" s="62"/>
    </row>
    <row r="85" spans="1:14" x14ac:dyDescent="0.2">
      <c r="A85" s="4"/>
      <c r="B85" s="316"/>
      <c r="C85" s="82" t="s">
        <v>238</v>
      </c>
      <c r="D85" s="99">
        <v>1.2</v>
      </c>
      <c r="E85" s="80">
        <v>3.19</v>
      </c>
      <c r="F85" s="80">
        <v>3.43</v>
      </c>
      <c r="G85" s="80">
        <v>3.76</v>
      </c>
      <c r="H85" s="62"/>
      <c r="I85" s="62"/>
      <c r="J85" s="62"/>
      <c r="K85" s="62"/>
      <c r="L85" s="62"/>
      <c r="M85" s="62"/>
      <c r="N85" s="62"/>
    </row>
    <row r="86" spans="1:14" x14ac:dyDescent="0.2">
      <c r="A86" s="4"/>
      <c r="B86" s="316"/>
      <c r="C86" s="82" t="s">
        <v>239</v>
      </c>
      <c r="D86" s="99">
        <v>2.2999999999999998</v>
      </c>
      <c r="E86" s="80">
        <v>4.74</v>
      </c>
      <c r="F86" s="80">
        <v>10.26</v>
      </c>
      <c r="G86" s="80">
        <v>11.45</v>
      </c>
      <c r="H86" s="62"/>
      <c r="I86" s="62"/>
      <c r="J86" s="62"/>
      <c r="K86" s="62"/>
      <c r="L86" s="62"/>
      <c r="M86" s="62"/>
      <c r="N86" s="62"/>
    </row>
    <row r="87" spans="1:14" x14ac:dyDescent="0.2">
      <c r="A87" s="4"/>
      <c r="B87" s="316"/>
      <c r="C87" s="5" t="s">
        <v>93</v>
      </c>
      <c r="D87" s="98">
        <v>1.75</v>
      </c>
      <c r="E87" s="80">
        <f>E85+E86/2</f>
        <v>5.5600000000000005</v>
      </c>
      <c r="F87" s="80">
        <v>5.01</v>
      </c>
      <c r="G87" s="80"/>
      <c r="H87" s="62"/>
      <c r="I87" s="62"/>
      <c r="J87" s="62"/>
      <c r="K87" s="62"/>
      <c r="L87" s="62"/>
      <c r="M87" s="62"/>
      <c r="N87" s="62"/>
    </row>
    <row r="88" spans="1:14" x14ac:dyDescent="0.2">
      <c r="A88" s="4"/>
      <c r="B88" s="316" t="s">
        <v>94</v>
      </c>
      <c r="C88" s="5" t="s">
        <v>237</v>
      </c>
      <c r="D88" s="98">
        <v>4.96</v>
      </c>
      <c r="E88" s="80">
        <v>34.520000000000003</v>
      </c>
      <c r="F88" s="80">
        <v>22.7</v>
      </c>
      <c r="G88" s="85">
        <f>59.5/5.71</f>
        <v>10.420315236427321</v>
      </c>
      <c r="H88" s="62"/>
      <c r="I88" s="62"/>
      <c r="J88" s="62"/>
      <c r="K88" s="62"/>
      <c r="L88" s="62"/>
      <c r="M88" s="62"/>
      <c r="N88" s="62"/>
    </row>
    <row r="89" spans="1:14" x14ac:dyDescent="0.2">
      <c r="A89" s="4"/>
      <c r="B89" s="316"/>
      <c r="C89" s="5" t="s">
        <v>92</v>
      </c>
      <c r="D89" s="98"/>
      <c r="E89" s="80"/>
      <c r="F89" s="80"/>
      <c r="G89" s="80"/>
      <c r="H89" s="62"/>
      <c r="I89" s="62"/>
      <c r="J89" s="62"/>
      <c r="K89" s="62"/>
      <c r="L89" s="62"/>
      <c r="M89" s="62"/>
      <c r="N89" s="62"/>
    </row>
    <row r="90" spans="1:14" x14ac:dyDescent="0.2">
      <c r="A90" s="4"/>
      <c r="B90" s="316"/>
      <c r="C90" s="82" t="s">
        <v>238</v>
      </c>
      <c r="D90" s="98">
        <v>19.2</v>
      </c>
      <c r="E90" s="80">
        <v>18.55</v>
      </c>
      <c r="F90" s="80">
        <v>21.31</v>
      </c>
      <c r="G90" s="85">
        <f>96.85/3.76</f>
        <v>25.757978723404257</v>
      </c>
      <c r="H90" s="62"/>
      <c r="I90" s="62"/>
      <c r="J90" s="62"/>
      <c r="K90" s="62"/>
      <c r="L90" s="62"/>
      <c r="M90" s="62"/>
      <c r="N90" s="62"/>
    </row>
    <row r="91" spans="1:14" x14ac:dyDescent="0.2">
      <c r="A91" s="4"/>
      <c r="B91" s="316"/>
      <c r="C91" s="82" t="s">
        <v>239</v>
      </c>
      <c r="D91" s="100">
        <v>27.8</v>
      </c>
      <c r="E91" s="80">
        <v>20.36</v>
      </c>
      <c r="F91" s="80">
        <v>16.36</v>
      </c>
      <c r="G91" s="85">
        <f>409.7/11.45</f>
        <v>35.78165938864629</v>
      </c>
      <c r="H91" s="62"/>
      <c r="I91" s="62"/>
      <c r="J91" s="62"/>
      <c r="K91" s="62"/>
      <c r="L91" s="62"/>
      <c r="M91" s="62"/>
      <c r="N91" s="62"/>
    </row>
    <row r="92" spans="1:14" x14ac:dyDescent="0.2">
      <c r="A92" s="4"/>
      <c r="B92" s="316"/>
      <c r="C92" s="5" t="s">
        <v>93</v>
      </c>
      <c r="D92" s="98">
        <v>23.5</v>
      </c>
      <c r="E92" s="80">
        <f>E90+E91/2</f>
        <v>28.73</v>
      </c>
      <c r="F92" s="80">
        <v>20.12</v>
      </c>
      <c r="G92" s="80"/>
      <c r="H92" s="62"/>
      <c r="I92" s="62"/>
      <c r="J92" s="62"/>
      <c r="K92" s="62"/>
      <c r="L92" s="62"/>
      <c r="M92" s="62"/>
      <c r="N92" s="62"/>
    </row>
    <row r="93" spans="1:14" x14ac:dyDescent="0.2">
      <c r="A93" s="4"/>
      <c r="B93" s="316" t="s">
        <v>95</v>
      </c>
      <c r="C93" s="5" t="s">
        <v>237</v>
      </c>
      <c r="D93" s="98">
        <v>39.51</v>
      </c>
      <c r="E93" s="80">
        <v>20.18</v>
      </c>
      <c r="F93" s="80">
        <v>9.08</v>
      </c>
      <c r="G93" s="86">
        <f>342.43/1200.34</f>
        <v>0.2852775047069997</v>
      </c>
      <c r="H93" s="62"/>
      <c r="I93" s="62"/>
      <c r="J93" s="62"/>
      <c r="K93" s="62"/>
      <c r="L93" s="62"/>
      <c r="M93" s="62"/>
      <c r="N93" s="62"/>
    </row>
    <row r="94" spans="1:14" x14ac:dyDescent="0.2">
      <c r="A94" s="4"/>
      <c r="B94" s="316"/>
      <c r="C94" s="5" t="s">
        <v>92</v>
      </c>
      <c r="D94" s="98"/>
      <c r="E94" s="80"/>
      <c r="F94" s="80"/>
      <c r="G94" s="80"/>
      <c r="H94" s="62"/>
      <c r="I94" s="62"/>
      <c r="J94" s="62"/>
      <c r="K94" s="62"/>
      <c r="L94" s="62"/>
      <c r="M94" s="62"/>
      <c r="N94" s="62"/>
    </row>
    <row r="95" spans="1:14" x14ac:dyDescent="0.2">
      <c r="A95" s="4"/>
      <c r="B95" s="316"/>
      <c r="C95" s="82" t="s">
        <v>238</v>
      </c>
      <c r="D95" s="98">
        <v>18.100000000000001</v>
      </c>
      <c r="E95" s="80">
        <v>28.68</v>
      </c>
      <c r="F95" s="80">
        <v>29.98</v>
      </c>
      <c r="G95" s="86">
        <f>2136.03/7708.74</f>
        <v>0.27709197612061121</v>
      </c>
      <c r="H95" s="62"/>
      <c r="I95" s="62"/>
      <c r="J95" s="62"/>
      <c r="K95" s="62"/>
      <c r="L95" s="62"/>
      <c r="M95" s="62"/>
      <c r="N95" s="62"/>
    </row>
    <row r="96" spans="1:14" x14ac:dyDescent="0.2">
      <c r="A96" s="4"/>
      <c r="B96" s="316"/>
      <c r="C96" s="82" t="s">
        <v>239</v>
      </c>
      <c r="D96" s="100">
        <v>2.5</v>
      </c>
      <c r="E96" s="80">
        <v>4.3099999999999996</v>
      </c>
      <c r="F96" s="80">
        <v>8.5299999999999994</v>
      </c>
      <c r="G96" s="86">
        <f>1330.18/14752.48</f>
        <v>9.0166534711451918E-2</v>
      </c>
      <c r="H96" s="62"/>
      <c r="I96" s="62"/>
      <c r="J96" s="62"/>
      <c r="K96" s="62"/>
      <c r="L96" s="62"/>
      <c r="M96" s="62"/>
      <c r="N96" s="62"/>
    </row>
    <row r="97" spans="1:14" x14ac:dyDescent="0.2">
      <c r="A97" s="4"/>
      <c r="B97" s="316"/>
      <c r="C97" s="5" t="s">
        <v>93</v>
      </c>
      <c r="D97" s="98">
        <v>10.3</v>
      </c>
      <c r="E97" s="80">
        <f>E95+E96/2</f>
        <v>30.835000000000001</v>
      </c>
      <c r="F97" s="80">
        <v>15.86</v>
      </c>
      <c r="G97" s="80"/>
      <c r="H97" s="62"/>
      <c r="I97" s="62"/>
      <c r="J97" s="62"/>
      <c r="K97" s="66"/>
      <c r="L97" s="62"/>
      <c r="M97" s="62"/>
      <c r="N97" s="62"/>
    </row>
    <row r="98" spans="1:14" x14ac:dyDescent="0.2">
      <c r="A98" s="4"/>
      <c r="B98" s="67" t="s">
        <v>96</v>
      </c>
      <c r="C98" s="5" t="s">
        <v>237</v>
      </c>
      <c r="D98" s="98">
        <v>12.74</v>
      </c>
      <c r="E98" s="80">
        <v>16.95</v>
      </c>
      <c r="F98" s="80">
        <v>14.91</v>
      </c>
      <c r="G98" s="85">
        <f>1200.34/59.95</f>
        <v>20.022351959966638</v>
      </c>
      <c r="H98" s="62"/>
      <c r="I98" s="62"/>
      <c r="J98" s="62"/>
      <c r="K98" s="62"/>
      <c r="L98" s="62"/>
      <c r="M98" s="62"/>
      <c r="N98" s="62"/>
    </row>
    <row r="99" spans="1:14" x14ac:dyDescent="0.2">
      <c r="A99" s="4"/>
      <c r="B99" s="69"/>
      <c r="C99" s="5" t="s">
        <v>92</v>
      </c>
      <c r="D99" s="98"/>
      <c r="E99" s="80"/>
      <c r="F99" s="80"/>
      <c r="G99" s="80"/>
      <c r="H99" s="62"/>
      <c r="I99" s="62"/>
      <c r="J99" s="62"/>
      <c r="K99" s="62"/>
      <c r="L99" s="62"/>
      <c r="M99" s="62"/>
      <c r="N99" s="62"/>
    </row>
    <row r="100" spans="1:14" x14ac:dyDescent="0.2">
      <c r="A100" s="4"/>
      <c r="B100" s="69"/>
      <c r="C100" s="82" t="s">
        <v>238</v>
      </c>
      <c r="D100" s="98">
        <v>7.6</v>
      </c>
      <c r="E100" s="80">
        <v>11.12</v>
      </c>
      <c r="F100" s="80">
        <v>11.45</v>
      </c>
      <c r="G100" s="85">
        <f>7708.74/560.4</f>
        <v>13.755781584582442</v>
      </c>
      <c r="H100" s="62"/>
      <c r="I100" s="62"/>
      <c r="J100" s="62"/>
      <c r="K100" s="62"/>
      <c r="L100" s="62"/>
      <c r="M100" s="62"/>
      <c r="N100" s="62"/>
    </row>
    <row r="101" spans="1:14" x14ac:dyDescent="0.2">
      <c r="A101" s="4"/>
      <c r="B101" s="69"/>
      <c r="C101" s="82" t="s">
        <v>239</v>
      </c>
      <c r="D101" s="79">
        <v>106.9</v>
      </c>
      <c r="E101" s="80">
        <v>109.92</v>
      </c>
      <c r="F101" s="80">
        <v>120.18</v>
      </c>
      <c r="G101" s="85">
        <f>14752.48/115.5</f>
        <v>127.72709956709956</v>
      </c>
      <c r="H101" s="62"/>
      <c r="I101" s="62"/>
      <c r="J101" s="62"/>
      <c r="K101" s="62"/>
      <c r="L101" s="62"/>
      <c r="M101" s="62"/>
      <c r="N101" s="62"/>
    </row>
    <row r="102" spans="1:14" x14ac:dyDescent="0.2">
      <c r="A102" s="4"/>
      <c r="B102" s="69"/>
      <c r="C102" s="5" t="s">
        <v>93</v>
      </c>
      <c r="D102" s="79">
        <v>57.25</v>
      </c>
      <c r="E102" s="80">
        <f>E100+E101/2</f>
        <v>66.08</v>
      </c>
      <c r="F102" s="80">
        <v>48.85</v>
      </c>
      <c r="G102" s="80"/>
      <c r="H102" s="62"/>
      <c r="I102" s="62"/>
      <c r="J102" s="62"/>
      <c r="K102" s="62"/>
      <c r="L102" s="62"/>
      <c r="M102" s="62"/>
      <c r="N102" s="62"/>
    </row>
    <row r="103" spans="1:14" x14ac:dyDescent="0.25">
      <c r="A103" s="4"/>
      <c r="B103" s="376" t="s">
        <v>240</v>
      </c>
      <c r="C103" s="377"/>
      <c r="D103" s="377"/>
      <c r="E103" s="377"/>
      <c r="F103" s="377"/>
      <c r="G103" s="378"/>
      <c r="H103" s="62"/>
      <c r="I103" s="62"/>
      <c r="J103" s="62"/>
      <c r="K103" s="62"/>
      <c r="L103" s="62"/>
      <c r="M103" s="62"/>
      <c r="N103" s="62"/>
    </row>
    <row r="104" spans="1:14" x14ac:dyDescent="0.25">
      <c r="A104" s="4"/>
      <c r="B104" s="379" t="s">
        <v>128</v>
      </c>
      <c r="C104" s="380"/>
      <c r="D104" s="380"/>
      <c r="E104" s="380"/>
      <c r="F104" s="380"/>
      <c r="G104" s="381"/>
      <c r="H104" s="62"/>
      <c r="I104" s="62"/>
      <c r="J104" s="62"/>
      <c r="K104" s="62"/>
      <c r="L104" s="62"/>
      <c r="M104" s="62"/>
      <c r="N104" s="62"/>
    </row>
    <row r="105" spans="1:14" x14ac:dyDescent="0.25">
      <c r="A105" s="4"/>
      <c r="B105" s="353"/>
      <c r="C105" s="354"/>
      <c r="D105" s="354"/>
      <c r="E105" s="354"/>
      <c r="F105" s="354"/>
      <c r="G105" s="355"/>
      <c r="H105" s="62"/>
      <c r="I105" s="62"/>
      <c r="J105" s="62"/>
      <c r="K105" s="62"/>
      <c r="L105" s="62"/>
      <c r="M105" s="62"/>
      <c r="N105" s="62"/>
    </row>
    <row r="106" spans="1:14" x14ac:dyDescent="0.25">
      <c r="A106" s="26"/>
      <c r="B106" s="12"/>
      <c r="C106" s="323"/>
      <c r="D106" s="323"/>
      <c r="E106" s="323"/>
      <c r="F106" s="323"/>
      <c r="G106" s="323"/>
      <c r="H106" s="62"/>
      <c r="I106" s="62"/>
      <c r="J106" s="26"/>
      <c r="K106" s="26"/>
      <c r="L106" s="26"/>
      <c r="M106" s="26"/>
      <c r="N106" s="26"/>
    </row>
    <row r="107" spans="1:14" x14ac:dyDescent="0.25">
      <c r="A107" s="13">
        <v>14</v>
      </c>
      <c r="B107" s="70" t="s">
        <v>99</v>
      </c>
      <c r="C107" s="324" t="s">
        <v>16</v>
      </c>
      <c r="D107" s="325"/>
      <c r="E107" s="325"/>
      <c r="F107" s="325"/>
      <c r="G107" s="326"/>
      <c r="H107" s="26"/>
      <c r="I107" s="26"/>
      <c r="J107" s="26"/>
      <c r="K107" s="26"/>
      <c r="L107" s="26"/>
      <c r="M107" s="26"/>
      <c r="N107" s="26"/>
    </row>
    <row r="108" spans="1:14" x14ac:dyDescent="0.25">
      <c r="A108" s="71"/>
      <c r="B108" s="26"/>
      <c r="C108" s="84"/>
      <c r="D108" s="84"/>
      <c r="E108" s="84"/>
      <c r="F108" s="84"/>
      <c r="G108" s="84"/>
      <c r="H108" s="26"/>
      <c r="I108" s="26"/>
      <c r="J108" s="26"/>
      <c r="K108" s="26"/>
      <c r="L108" s="26"/>
      <c r="M108" s="26"/>
      <c r="N108" s="26"/>
    </row>
    <row r="109" spans="1:14" x14ac:dyDescent="0.25">
      <c r="A109" s="26"/>
      <c r="B109" s="374" t="s">
        <v>225</v>
      </c>
      <c r="C109" s="375"/>
      <c r="D109" s="375"/>
      <c r="E109" s="375"/>
      <c r="F109" s="375"/>
      <c r="G109" s="375"/>
      <c r="H109" s="375"/>
      <c r="I109" s="26"/>
      <c r="J109" s="26"/>
      <c r="K109" s="26"/>
      <c r="L109" s="26"/>
      <c r="M109" s="26"/>
      <c r="N109" s="26"/>
    </row>
    <row r="110" spans="1:14" x14ac:dyDescent="0.25">
      <c r="A110" s="26"/>
      <c r="B110" s="26"/>
      <c r="C110" s="26"/>
      <c r="D110" s="26"/>
      <c r="E110" s="26"/>
      <c r="F110" s="26"/>
      <c r="G110" s="26"/>
      <c r="H110" s="26"/>
      <c r="I110" s="26"/>
      <c r="J110" s="26"/>
      <c r="K110" s="26"/>
      <c r="L110" s="26"/>
      <c r="M110" s="26"/>
      <c r="N110" s="26"/>
    </row>
    <row r="111" spans="1:14" x14ac:dyDescent="0.25">
      <c r="A111" s="26"/>
      <c r="B111" s="26"/>
      <c r="C111" s="26"/>
      <c r="D111" s="26"/>
      <c r="E111" s="26"/>
      <c r="F111" s="26"/>
      <c r="G111" s="26"/>
      <c r="H111" s="26"/>
      <c r="I111" s="26"/>
      <c r="J111" s="26"/>
      <c r="K111" s="26"/>
      <c r="L111" s="26"/>
      <c r="M111" s="26"/>
      <c r="N111" s="26"/>
    </row>
  </sheetData>
  <sheetProtection password="E9DF" sheet="1" objects="1" scenarios="1"/>
  <mergeCells count="57">
    <mergeCell ref="C21:E21"/>
    <mergeCell ref="A1:B1"/>
    <mergeCell ref="C5:E5"/>
    <mergeCell ref="B6:D6"/>
    <mergeCell ref="B9:D9"/>
    <mergeCell ref="C11:E11"/>
    <mergeCell ref="B12:D12"/>
    <mergeCell ref="B15:C15"/>
    <mergeCell ref="B17:E17"/>
    <mergeCell ref="C18:E18"/>
    <mergeCell ref="C19:E19"/>
    <mergeCell ref="C20:E20"/>
    <mergeCell ref="B46:E46"/>
    <mergeCell ref="C22:E22"/>
    <mergeCell ref="B23:E23"/>
    <mergeCell ref="B26:E26"/>
    <mergeCell ref="B27:E27"/>
    <mergeCell ref="B33:E33"/>
    <mergeCell ref="B35:E35"/>
    <mergeCell ref="B39:C39"/>
    <mergeCell ref="B42:E42"/>
    <mergeCell ref="C43:E43"/>
    <mergeCell ref="C44:E44"/>
    <mergeCell ref="C45:E45"/>
    <mergeCell ref="B48:E48"/>
    <mergeCell ref="B51:E51"/>
    <mergeCell ref="B53:E53"/>
    <mergeCell ref="B54:B55"/>
    <mergeCell ref="C54:E54"/>
    <mergeCell ref="C55:E55"/>
    <mergeCell ref="B76:N76"/>
    <mergeCell ref="C56:E56"/>
    <mergeCell ref="C57:E57"/>
    <mergeCell ref="B58:E58"/>
    <mergeCell ref="B59:E59"/>
    <mergeCell ref="C62:E62"/>
    <mergeCell ref="B68:B69"/>
    <mergeCell ref="C68:C69"/>
    <mergeCell ref="D68:D69"/>
    <mergeCell ref="E68:E69"/>
    <mergeCell ref="F68:H68"/>
    <mergeCell ref="I68:K68"/>
    <mergeCell ref="L68:N68"/>
    <mergeCell ref="B74:N74"/>
    <mergeCell ref="B75:N75"/>
    <mergeCell ref="B109:H109"/>
    <mergeCell ref="B77:N77"/>
    <mergeCell ref="B78:N78"/>
    <mergeCell ref="B80:G80"/>
    <mergeCell ref="B83:B87"/>
    <mergeCell ref="B88:B92"/>
    <mergeCell ref="B93:B97"/>
    <mergeCell ref="B103:G103"/>
    <mergeCell ref="B104:G104"/>
    <mergeCell ref="B105:G105"/>
    <mergeCell ref="C106:G106"/>
    <mergeCell ref="C107:G10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topLeftCell="A23" workbookViewId="0">
      <selection activeCell="B31" sqref="B31"/>
    </sheetView>
  </sheetViews>
  <sheetFormatPr defaultColWidth="8.85546875" defaultRowHeight="12.75" x14ac:dyDescent="0.25"/>
  <cols>
    <col min="1" max="1" width="8.85546875" style="73"/>
    <col min="2" max="2" width="40.28515625" style="73" customWidth="1"/>
    <col min="3" max="3" width="43.5703125" style="73" customWidth="1"/>
    <col min="4" max="4" width="15.85546875" style="73" customWidth="1"/>
    <col min="5" max="5" width="22.28515625" style="73" customWidth="1"/>
    <col min="6" max="6" width="16.7109375" style="73" bestFit="1" customWidth="1"/>
    <col min="7" max="7" width="22.28515625"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32.25" customHeight="1" x14ac:dyDescent="0.25">
      <c r="A3" s="4" t="s">
        <v>1</v>
      </c>
      <c r="B3" s="5" t="s">
        <v>2</v>
      </c>
      <c r="C3" s="6" t="s">
        <v>241</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5</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242</v>
      </c>
      <c r="D8" s="9"/>
      <c r="E8" s="12"/>
      <c r="F8" s="12"/>
      <c r="G8" s="12"/>
      <c r="H8" s="12"/>
      <c r="I8" s="12"/>
      <c r="J8" s="12"/>
      <c r="K8" s="12"/>
      <c r="L8" s="12"/>
      <c r="M8" s="12"/>
      <c r="N8" s="12"/>
    </row>
    <row r="9" spans="1:25" ht="16.149999999999999" customHeight="1" x14ac:dyDescent="0.25">
      <c r="A9" s="13"/>
      <c r="B9" s="382" t="s">
        <v>6</v>
      </c>
      <c r="C9" s="382"/>
      <c r="D9" s="382"/>
      <c r="E9" s="12" t="s">
        <v>743</v>
      </c>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c r="F13" s="26"/>
      <c r="G13" s="26"/>
      <c r="H13" s="26"/>
      <c r="I13" s="26"/>
      <c r="J13" s="26"/>
      <c r="K13" s="26"/>
      <c r="L13" s="26"/>
      <c r="M13" s="26"/>
      <c r="N13" s="26"/>
    </row>
    <row r="14" spans="1:25" ht="30.6" customHeight="1" x14ac:dyDescent="0.25">
      <c r="A14" s="13">
        <v>4</v>
      </c>
      <c r="B14" s="5" t="s">
        <v>11</v>
      </c>
      <c r="C14" s="6" t="s">
        <v>243</v>
      </c>
      <c r="D14" s="9"/>
      <c r="E14" s="26"/>
      <c r="F14" s="26"/>
      <c r="G14" s="26"/>
      <c r="H14" s="26"/>
      <c r="I14" s="26"/>
      <c r="J14" s="26"/>
      <c r="K14" s="26"/>
      <c r="L14" s="26"/>
      <c r="M14" s="26"/>
      <c r="N14" s="26"/>
    </row>
    <row r="15" spans="1:25" ht="14.45" customHeight="1" x14ac:dyDescent="0.25">
      <c r="A15" s="13"/>
      <c r="B15" s="353" t="s">
        <v>13</v>
      </c>
      <c r="C15" s="385"/>
      <c r="D15" s="9"/>
      <c r="E15" s="26"/>
      <c r="F15" s="12"/>
      <c r="G15" s="26"/>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155</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133</v>
      </c>
      <c r="D28" s="22" t="s">
        <v>26</v>
      </c>
      <c r="E28" s="22" t="s">
        <v>27</v>
      </c>
      <c r="F28" s="19"/>
      <c r="G28" s="26"/>
      <c r="H28" s="26"/>
      <c r="I28" s="26"/>
      <c r="J28" s="26"/>
      <c r="K28" s="26"/>
      <c r="L28" s="26"/>
      <c r="M28" s="26"/>
      <c r="N28" s="26"/>
    </row>
    <row r="29" spans="1:14" ht="12.75" customHeight="1" x14ac:dyDescent="0.25">
      <c r="A29" s="13"/>
      <c r="B29" s="23" t="s">
        <v>28</v>
      </c>
      <c r="C29" s="24">
        <v>7097.64</v>
      </c>
      <c r="D29" s="25">
        <v>2429.9499999999998</v>
      </c>
      <c r="E29" s="25">
        <v>377.23</v>
      </c>
      <c r="G29" s="26"/>
      <c r="H29" s="26"/>
      <c r="I29" s="26"/>
      <c r="J29" s="26"/>
      <c r="K29" s="26"/>
      <c r="L29" s="26"/>
      <c r="M29" s="26"/>
      <c r="N29" s="26"/>
    </row>
    <row r="30" spans="1:14" x14ac:dyDescent="0.25">
      <c r="A30" s="13"/>
      <c r="B30" s="23" t="s">
        <v>29</v>
      </c>
      <c r="C30" s="24">
        <v>114.81</v>
      </c>
      <c r="D30" s="25">
        <v>-389.8</v>
      </c>
      <c r="E30" s="25">
        <v>318.01</v>
      </c>
      <c r="G30" s="26"/>
      <c r="H30" s="26"/>
      <c r="I30" s="26"/>
      <c r="J30" s="26"/>
      <c r="K30" s="26"/>
      <c r="L30" s="26"/>
      <c r="M30" s="26"/>
      <c r="N30" s="26"/>
    </row>
    <row r="31" spans="1:14" x14ac:dyDescent="0.25">
      <c r="A31" s="13"/>
      <c r="B31" s="23" t="s">
        <v>30</v>
      </c>
      <c r="C31" s="24">
        <v>500</v>
      </c>
      <c r="D31" s="25">
        <v>500</v>
      </c>
      <c r="E31" s="25">
        <v>500</v>
      </c>
      <c r="G31" s="26"/>
      <c r="H31" s="26"/>
      <c r="I31" s="26"/>
      <c r="J31" s="26"/>
      <c r="K31" s="26"/>
      <c r="L31" s="26"/>
      <c r="M31" s="26"/>
      <c r="N31" s="26"/>
    </row>
    <row r="32" spans="1:14" x14ac:dyDescent="0.25">
      <c r="A32" s="13"/>
      <c r="B32" s="23" t="s">
        <v>31</v>
      </c>
      <c r="C32" s="24">
        <v>792.5</v>
      </c>
      <c r="D32" s="25">
        <v>404.7</v>
      </c>
      <c r="E32" s="25">
        <v>-703.89</v>
      </c>
      <c r="G32" s="26"/>
      <c r="H32" s="26"/>
      <c r="I32" s="26"/>
      <c r="J32" s="26"/>
      <c r="K32" s="26"/>
      <c r="L32" s="26"/>
      <c r="M32" s="26"/>
      <c r="N32" s="26"/>
    </row>
    <row r="33" spans="1:14" x14ac:dyDescent="0.25">
      <c r="A33" s="13"/>
      <c r="B33" s="353" t="s">
        <v>244</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4" t="s">
        <v>245</v>
      </c>
      <c r="D37" s="17"/>
      <c r="E37" s="17"/>
      <c r="F37" s="17"/>
      <c r="G37" s="26"/>
      <c r="H37" s="26"/>
      <c r="I37" s="26"/>
      <c r="J37" s="26"/>
      <c r="K37" s="26"/>
      <c r="L37" s="26"/>
      <c r="M37" s="26"/>
      <c r="N37" s="26"/>
    </row>
    <row r="38" spans="1:14" x14ac:dyDescent="0.25">
      <c r="A38" s="13"/>
      <c r="B38" s="27" t="s">
        <v>37</v>
      </c>
      <c r="C38" s="24" t="s">
        <v>245</v>
      </c>
      <c r="D38" s="17"/>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246</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45</v>
      </c>
      <c r="F49" s="26"/>
      <c r="G49" s="26"/>
      <c r="H49" s="26"/>
      <c r="I49" s="26"/>
      <c r="J49" s="26"/>
      <c r="K49" s="26"/>
      <c r="L49" s="26"/>
      <c r="M49" s="26"/>
    </row>
    <row r="50" spans="1:14" x14ac:dyDescent="0.25">
      <c r="A50" s="34"/>
      <c r="B50" s="391" t="s">
        <v>159</v>
      </c>
      <c r="C50" s="392"/>
      <c r="D50" s="392"/>
      <c r="E50" s="393"/>
      <c r="F50" s="26"/>
      <c r="G50" s="26"/>
      <c r="H50" s="26"/>
      <c r="I50" s="26"/>
      <c r="J50" s="26"/>
      <c r="K50" s="26"/>
      <c r="L50" s="26"/>
      <c r="M50" s="26"/>
    </row>
    <row r="51" spans="1:14" x14ac:dyDescent="0.25">
      <c r="A51" s="36"/>
      <c r="B51" s="403" t="s">
        <v>247</v>
      </c>
      <c r="C51" s="404"/>
      <c r="D51" s="404"/>
      <c r="E51" s="405"/>
      <c r="F51" s="19"/>
      <c r="G51" s="19"/>
      <c r="H51" s="19"/>
      <c r="I51" s="26"/>
      <c r="J51" s="26"/>
      <c r="K51" s="26"/>
      <c r="L51" s="26"/>
      <c r="M51" s="26"/>
    </row>
    <row r="52" spans="1:14" x14ac:dyDescent="0.25">
      <c r="A52" s="37"/>
      <c r="B52" s="101"/>
      <c r="C52" s="9"/>
      <c r="D52" s="9"/>
      <c r="E52" s="9"/>
      <c r="F52" s="19"/>
      <c r="G52" s="19"/>
      <c r="H52" s="19"/>
      <c r="I52" s="19"/>
      <c r="J52" s="26"/>
      <c r="K52" s="26"/>
      <c r="L52" s="26"/>
      <c r="M52" s="26"/>
      <c r="N52" s="26"/>
    </row>
    <row r="53" spans="1:14" x14ac:dyDescent="0.25">
      <c r="A53" s="29">
        <v>10</v>
      </c>
      <c r="B53" s="340" t="s">
        <v>41</v>
      </c>
      <c r="C53" s="333"/>
      <c r="D53" s="333"/>
      <c r="E53" s="333"/>
      <c r="F53" s="19"/>
      <c r="G53" s="19"/>
      <c r="H53" s="19"/>
      <c r="I53" s="26"/>
      <c r="J53" s="26"/>
      <c r="K53" s="26"/>
      <c r="L53" s="26"/>
      <c r="M53" s="26"/>
    </row>
    <row r="54" spans="1:14" x14ac:dyDescent="0.25">
      <c r="A54" s="34"/>
      <c r="B54" s="412" t="s">
        <v>50</v>
      </c>
      <c r="C54" s="414" t="s">
        <v>159</v>
      </c>
      <c r="D54" s="415"/>
      <c r="E54" s="416"/>
      <c r="F54" s="26"/>
      <c r="G54" s="26"/>
      <c r="H54" s="26"/>
      <c r="I54" s="26"/>
      <c r="J54" s="26"/>
      <c r="K54" s="2"/>
      <c r="L54" s="26"/>
      <c r="M54" s="26"/>
    </row>
    <row r="55" spans="1:14" x14ac:dyDescent="0.25">
      <c r="A55" s="34"/>
      <c r="B55" s="413"/>
      <c r="C55" s="417"/>
      <c r="D55" s="418"/>
      <c r="E55" s="419"/>
      <c r="F55" s="26"/>
      <c r="G55" s="26"/>
      <c r="H55" s="26"/>
      <c r="I55" s="26"/>
      <c r="J55" s="26"/>
      <c r="K55" s="2"/>
      <c r="L55" s="26"/>
      <c r="M55" s="26"/>
    </row>
    <row r="56" spans="1:14" x14ac:dyDescent="0.25">
      <c r="A56" s="29"/>
      <c r="B56" s="102" t="s">
        <v>54</v>
      </c>
      <c r="C56" s="411" t="s">
        <v>248</v>
      </c>
      <c r="D56" s="411"/>
      <c r="E56" s="411"/>
      <c r="F56" s="26"/>
      <c r="G56" s="26"/>
      <c r="H56" s="26"/>
      <c r="I56" s="26"/>
      <c r="J56" s="26"/>
      <c r="K56" s="12"/>
      <c r="L56" s="26"/>
      <c r="M56" s="26"/>
    </row>
    <row r="57" spans="1:14" x14ac:dyDescent="0.25">
      <c r="A57" s="34"/>
      <c r="B57" s="39" t="s">
        <v>55</v>
      </c>
      <c r="C57" s="344" t="s">
        <v>56</v>
      </c>
      <c r="D57" s="344"/>
      <c r="E57" s="344"/>
      <c r="F57" s="26"/>
      <c r="G57" s="26"/>
      <c r="H57" s="26"/>
      <c r="I57" s="26"/>
      <c r="J57" s="26"/>
      <c r="K57" s="40"/>
      <c r="L57" s="26"/>
      <c r="M57" s="26"/>
    </row>
    <row r="58" spans="1:14" x14ac:dyDescent="0.25">
      <c r="A58" s="34"/>
      <c r="B58" s="403" t="s">
        <v>249</v>
      </c>
      <c r="C58" s="404"/>
      <c r="D58" s="404"/>
      <c r="E58" s="405"/>
      <c r="F58" s="26"/>
      <c r="G58" s="26"/>
      <c r="H58" s="26"/>
      <c r="I58" s="26"/>
      <c r="J58" s="26"/>
      <c r="K58" s="40"/>
      <c r="L58" s="26"/>
      <c r="M58" s="26"/>
    </row>
    <row r="59" spans="1:14" s="76" customFormat="1" x14ac:dyDescent="0.2">
      <c r="A59" s="41" t="s">
        <v>57</v>
      </c>
      <c r="B59" s="384" t="s">
        <v>58</v>
      </c>
      <c r="C59" s="384"/>
      <c r="D59" s="384"/>
      <c r="E59" s="384"/>
    </row>
    <row r="60" spans="1:14" x14ac:dyDescent="0.25">
      <c r="A60" s="43"/>
      <c r="B60" s="44"/>
      <c r="C60" s="45"/>
      <c r="D60" s="46"/>
      <c r="E60" s="47"/>
      <c r="F60" s="40"/>
      <c r="G60" s="40"/>
      <c r="H60" s="40"/>
      <c r="I60" s="40"/>
      <c r="J60" s="40"/>
      <c r="K60" s="40"/>
      <c r="L60" s="40"/>
      <c r="M60" s="26"/>
      <c r="N60" s="26"/>
    </row>
    <row r="61" spans="1:14" x14ac:dyDescent="0.25">
      <c r="A61" s="48"/>
      <c r="B61" s="49"/>
      <c r="C61" s="50"/>
      <c r="D61" s="50"/>
      <c r="E61" s="50"/>
      <c r="F61" s="50"/>
      <c r="G61" s="12"/>
      <c r="H61" s="12"/>
      <c r="I61" s="12"/>
      <c r="J61" s="12"/>
      <c r="K61" s="12"/>
      <c r="L61" s="12"/>
      <c r="M61" s="26"/>
      <c r="N61" s="26"/>
    </row>
    <row r="62" spans="1:14" x14ac:dyDescent="0.25">
      <c r="A62" s="13">
        <v>11</v>
      </c>
      <c r="B62" s="5" t="s">
        <v>59</v>
      </c>
      <c r="C62" s="349" t="s">
        <v>60</v>
      </c>
      <c r="D62" s="349"/>
      <c r="E62" s="349"/>
      <c r="F62" s="15"/>
      <c r="G62" s="15"/>
      <c r="H62" s="51"/>
      <c r="I62" s="15"/>
      <c r="J62" s="15"/>
      <c r="K62" s="26"/>
      <c r="L62" s="12"/>
      <c r="M62" s="26"/>
      <c r="N62" s="26"/>
    </row>
    <row r="63" spans="1:14" x14ac:dyDescent="0.25">
      <c r="A63" s="13"/>
      <c r="B63" s="19"/>
      <c r="C63" s="19"/>
      <c r="D63" s="19"/>
      <c r="E63" s="19"/>
      <c r="F63" s="19"/>
      <c r="G63" s="19"/>
      <c r="H63" s="52"/>
      <c r="I63" s="52"/>
      <c r="J63" s="19"/>
      <c r="K63" s="26"/>
      <c r="L63" s="26"/>
      <c r="M63" s="26"/>
      <c r="N63" s="26"/>
    </row>
    <row r="64" spans="1:14" x14ac:dyDescent="0.25">
      <c r="A64" s="13">
        <v>12</v>
      </c>
      <c r="B64" s="15" t="s">
        <v>61</v>
      </c>
      <c r="C64" s="15"/>
      <c r="D64" s="15"/>
      <c r="E64" s="15"/>
      <c r="F64" s="15"/>
      <c r="G64" s="15"/>
      <c r="H64" s="15"/>
      <c r="I64" s="15"/>
      <c r="J64" s="15"/>
      <c r="K64" s="15"/>
      <c r="L64" s="15"/>
      <c r="M64" s="15"/>
      <c r="N64" s="15"/>
    </row>
    <row r="65" spans="1:14" x14ac:dyDescent="0.25">
      <c r="A65" s="13"/>
      <c r="B65" s="15"/>
      <c r="C65" s="15"/>
      <c r="D65" s="15"/>
      <c r="E65" s="15"/>
      <c r="F65" s="15"/>
      <c r="G65" s="15"/>
      <c r="H65" s="15"/>
      <c r="I65" s="15"/>
      <c r="J65" s="15"/>
      <c r="K65" s="15"/>
      <c r="L65" s="15"/>
      <c r="M65" s="15"/>
      <c r="N65" s="15"/>
    </row>
    <row r="66" spans="1:14" x14ac:dyDescent="0.25">
      <c r="A66" s="13"/>
      <c r="B66" s="21" t="s">
        <v>62</v>
      </c>
      <c r="C66" s="23" t="s">
        <v>215</v>
      </c>
      <c r="D66" s="19"/>
      <c r="E66" s="19"/>
      <c r="F66" s="52"/>
      <c r="G66" s="52"/>
      <c r="H66" s="19"/>
      <c r="I66" s="19"/>
      <c r="J66" s="19"/>
      <c r="K66" s="19"/>
      <c r="L66" s="19"/>
      <c r="M66" s="19"/>
      <c r="N66" s="19"/>
    </row>
    <row r="67" spans="1:14" x14ac:dyDescent="0.25">
      <c r="A67" s="13"/>
      <c r="B67" s="19"/>
      <c r="C67" s="19"/>
      <c r="D67" s="19"/>
      <c r="E67" s="19"/>
      <c r="F67" s="19"/>
      <c r="G67" s="19"/>
      <c r="H67" s="19"/>
      <c r="I67" s="19"/>
      <c r="J67" s="19"/>
      <c r="K67" s="19"/>
      <c r="L67" s="19"/>
      <c r="M67" s="19"/>
      <c r="N67" s="19"/>
    </row>
    <row r="68" spans="1:14" x14ac:dyDescent="0.25">
      <c r="A68" s="13"/>
      <c r="B68" s="333" t="s">
        <v>64</v>
      </c>
      <c r="C68" s="372" t="s">
        <v>250</v>
      </c>
      <c r="D68" s="372" t="s">
        <v>251</v>
      </c>
      <c r="E68" s="336" t="s">
        <v>252</v>
      </c>
      <c r="F68" s="327" t="s">
        <v>68</v>
      </c>
      <c r="G68" s="328"/>
      <c r="H68" s="329"/>
      <c r="I68" s="330" t="s">
        <v>69</v>
      </c>
      <c r="J68" s="330"/>
      <c r="K68" s="330"/>
      <c r="L68" s="330" t="s">
        <v>70</v>
      </c>
      <c r="M68" s="330"/>
      <c r="N68" s="330"/>
    </row>
    <row r="69" spans="1:14" ht="38.25" x14ac:dyDescent="0.25">
      <c r="A69" s="4"/>
      <c r="B69" s="333"/>
      <c r="C69" s="335"/>
      <c r="D69" s="335"/>
      <c r="E69" s="337"/>
      <c r="F69" s="21" t="s">
        <v>71</v>
      </c>
      <c r="G69" s="21" t="s">
        <v>72</v>
      </c>
      <c r="H69" s="21" t="s">
        <v>73</v>
      </c>
      <c r="I69" s="21" t="s">
        <v>74</v>
      </c>
      <c r="J69" s="21" t="s">
        <v>72</v>
      </c>
      <c r="K69" s="21" t="s">
        <v>73</v>
      </c>
      <c r="L69" s="21" t="s">
        <v>74</v>
      </c>
      <c r="M69" s="21" t="s">
        <v>72</v>
      </c>
      <c r="N69" s="21" t="s">
        <v>73</v>
      </c>
    </row>
    <row r="70" spans="1:14" x14ac:dyDescent="0.25">
      <c r="A70" s="4"/>
      <c r="B70" s="21" t="s">
        <v>75</v>
      </c>
      <c r="C70" s="53">
        <v>16.010000000000002</v>
      </c>
      <c r="D70" s="54">
        <v>28.5</v>
      </c>
      <c r="E70" s="54">
        <v>34</v>
      </c>
      <c r="F70" s="54">
        <v>31.5</v>
      </c>
      <c r="G70" s="54">
        <v>44</v>
      </c>
      <c r="H70" s="53">
        <v>15.05</v>
      </c>
      <c r="I70" s="53">
        <v>18.75</v>
      </c>
      <c r="J70" s="53">
        <v>32</v>
      </c>
      <c r="K70" s="53">
        <v>17.100000000000001</v>
      </c>
      <c r="L70" s="53">
        <v>35.35</v>
      </c>
      <c r="M70" s="53">
        <v>78.900000000000006</v>
      </c>
      <c r="N70" s="53">
        <v>20</v>
      </c>
    </row>
    <row r="71" spans="1:14" ht="25.5" x14ac:dyDescent="0.2">
      <c r="A71" s="4"/>
      <c r="B71" s="21" t="s">
        <v>76</v>
      </c>
      <c r="C71" s="55">
        <v>27364.92</v>
      </c>
      <c r="D71" s="55">
        <v>25864.47</v>
      </c>
      <c r="E71" s="78">
        <v>24455.040000000001</v>
      </c>
      <c r="F71" s="53">
        <v>25341.86</v>
      </c>
      <c r="G71" s="53">
        <v>29094.61</v>
      </c>
      <c r="H71" s="53">
        <v>22494.61</v>
      </c>
      <c r="I71" s="53">
        <v>29620.5</v>
      </c>
      <c r="J71" s="53">
        <v>27009.65</v>
      </c>
      <c r="K71" s="53">
        <v>26313.64</v>
      </c>
      <c r="L71" s="54">
        <v>32968.68</v>
      </c>
      <c r="M71" s="54">
        <v>36443.980000000003</v>
      </c>
      <c r="N71" s="56">
        <v>29241.48</v>
      </c>
    </row>
    <row r="72" spans="1:14" x14ac:dyDescent="0.2">
      <c r="A72" s="4"/>
      <c r="B72" s="27" t="s">
        <v>219</v>
      </c>
      <c r="C72" s="55">
        <v>782.22</v>
      </c>
      <c r="D72" s="55">
        <v>760.17</v>
      </c>
      <c r="E72" s="55">
        <v>785.15</v>
      </c>
      <c r="F72" s="53">
        <v>767.86</v>
      </c>
      <c r="G72" s="53">
        <v>948</v>
      </c>
      <c r="H72" s="53">
        <v>731.23</v>
      </c>
      <c r="I72" s="54">
        <v>1288.8800000000001</v>
      </c>
      <c r="J72" s="54">
        <v>894.95</v>
      </c>
      <c r="K72" s="54">
        <v>1011</v>
      </c>
      <c r="L72" s="54" t="s">
        <v>48</v>
      </c>
      <c r="M72" s="54" t="s">
        <v>48</v>
      </c>
      <c r="N72" s="54" t="s">
        <v>48</v>
      </c>
    </row>
    <row r="73" spans="1:14" x14ac:dyDescent="0.25">
      <c r="A73" s="4"/>
      <c r="B73" s="331" t="s">
        <v>253</v>
      </c>
      <c r="C73" s="331"/>
      <c r="D73" s="331"/>
      <c r="E73" s="331"/>
      <c r="F73" s="331"/>
      <c r="G73" s="331"/>
      <c r="H73" s="331"/>
      <c r="I73" s="331"/>
      <c r="J73" s="331"/>
      <c r="K73" s="331"/>
      <c r="L73" s="331"/>
      <c r="M73" s="331"/>
      <c r="N73" s="331"/>
    </row>
    <row r="74" spans="1:14" ht="13.5" x14ac:dyDescent="0.25">
      <c r="A74" s="4"/>
      <c r="B74" s="383" t="s">
        <v>21</v>
      </c>
      <c r="C74" s="383"/>
      <c r="D74" s="383"/>
      <c r="E74" s="383"/>
      <c r="F74" s="383"/>
      <c r="G74" s="383"/>
      <c r="H74" s="383"/>
      <c r="I74" s="383"/>
      <c r="J74" s="383"/>
      <c r="K74" s="383"/>
      <c r="L74" s="383"/>
      <c r="M74" s="383"/>
      <c r="N74" s="383"/>
    </row>
    <row r="75" spans="1:14" x14ac:dyDescent="0.25">
      <c r="A75" s="4"/>
      <c r="B75" s="382" t="s">
        <v>79</v>
      </c>
      <c r="C75" s="382"/>
      <c r="D75" s="382"/>
      <c r="E75" s="382"/>
      <c r="F75" s="382"/>
      <c r="G75" s="382"/>
      <c r="H75" s="382"/>
      <c r="I75" s="382"/>
      <c r="J75" s="382"/>
      <c r="K75" s="382"/>
      <c r="L75" s="382"/>
      <c r="M75" s="382"/>
      <c r="N75" s="382"/>
    </row>
    <row r="76" spans="1:14" s="57" customFormat="1" x14ac:dyDescent="0.25">
      <c r="B76" s="382" t="s">
        <v>80</v>
      </c>
      <c r="C76" s="382"/>
      <c r="D76" s="382"/>
      <c r="E76" s="382"/>
      <c r="F76" s="382"/>
      <c r="G76" s="382"/>
      <c r="H76" s="382"/>
      <c r="I76" s="382"/>
      <c r="J76" s="382"/>
      <c r="K76" s="382"/>
      <c r="L76" s="382"/>
      <c r="M76" s="382"/>
      <c r="N76" s="382"/>
    </row>
    <row r="77" spans="1:14" x14ac:dyDescent="0.25">
      <c r="A77" s="4"/>
      <c r="B77" s="382" t="s">
        <v>117</v>
      </c>
      <c r="C77" s="382"/>
      <c r="D77" s="382"/>
      <c r="E77" s="382"/>
      <c r="F77" s="382"/>
      <c r="G77" s="382"/>
      <c r="H77" s="382"/>
      <c r="I77" s="382"/>
      <c r="J77" s="382"/>
      <c r="K77" s="382"/>
      <c r="L77" s="382"/>
      <c r="M77" s="382"/>
      <c r="N77" s="382"/>
    </row>
    <row r="78" spans="1:14" x14ac:dyDescent="0.25">
      <c r="A78" s="4"/>
      <c r="B78" s="382" t="s">
        <v>82</v>
      </c>
      <c r="C78" s="382"/>
      <c r="D78" s="382"/>
      <c r="E78" s="382"/>
      <c r="F78" s="382"/>
      <c r="G78" s="382"/>
      <c r="H78" s="382"/>
      <c r="I78" s="382"/>
      <c r="J78" s="382"/>
      <c r="K78" s="382"/>
      <c r="L78" s="382"/>
      <c r="M78" s="382"/>
      <c r="N78" s="382"/>
    </row>
    <row r="79" spans="1:14" x14ac:dyDescent="0.25">
      <c r="A79" s="4"/>
      <c r="B79" s="58"/>
      <c r="C79" s="58"/>
      <c r="D79" s="58"/>
      <c r="E79" s="58"/>
      <c r="F79" s="58"/>
      <c r="G79" s="17"/>
      <c r="H79" s="17"/>
      <c r="I79" s="17"/>
      <c r="J79" s="17"/>
      <c r="K79" s="17"/>
      <c r="L79" s="17"/>
      <c r="M79" s="17"/>
      <c r="N79" s="17"/>
    </row>
    <row r="80" spans="1:14" x14ac:dyDescent="0.25">
      <c r="A80" s="13">
        <v>13</v>
      </c>
      <c r="B80" s="338" t="s">
        <v>83</v>
      </c>
      <c r="C80" s="339"/>
      <c r="D80" s="339"/>
      <c r="E80" s="339"/>
      <c r="F80" s="339"/>
      <c r="G80" s="340"/>
      <c r="H80" s="15"/>
      <c r="I80" s="15"/>
      <c r="J80" s="15"/>
      <c r="K80" s="15"/>
      <c r="L80" s="15"/>
      <c r="M80" s="15"/>
      <c r="N80" s="15"/>
    </row>
    <row r="81" spans="1:14" x14ac:dyDescent="0.25">
      <c r="A81" s="13"/>
      <c r="B81" s="26"/>
      <c r="C81" s="19"/>
      <c r="D81" s="19"/>
      <c r="E81" s="19"/>
      <c r="F81" s="19"/>
      <c r="G81" s="19"/>
      <c r="H81" s="19"/>
      <c r="I81" s="19"/>
      <c r="J81" s="19"/>
      <c r="K81" s="19"/>
      <c r="L81" s="19"/>
      <c r="M81" s="19"/>
      <c r="N81" s="19"/>
    </row>
    <row r="82" spans="1:14" ht="102" x14ac:dyDescent="0.25">
      <c r="A82" s="4"/>
      <c r="B82" s="59" t="s">
        <v>84</v>
      </c>
      <c r="C82" s="22" t="s">
        <v>85</v>
      </c>
      <c r="D82" s="22" t="s">
        <v>86</v>
      </c>
      <c r="E82" s="22" t="s">
        <v>143</v>
      </c>
      <c r="F82" s="22" t="s">
        <v>88</v>
      </c>
      <c r="G82" s="22" t="s">
        <v>169</v>
      </c>
      <c r="H82" s="17"/>
      <c r="I82" s="17"/>
      <c r="J82" s="17"/>
      <c r="K82" s="17"/>
      <c r="L82" s="17"/>
      <c r="M82" s="17"/>
      <c r="N82" s="17"/>
    </row>
    <row r="83" spans="1:14" ht="12.75" customHeight="1" x14ac:dyDescent="0.2">
      <c r="A83" s="4"/>
      <c r="B83" s="316" t="s">
        <v>90</v>
      </c>
      <c r="C83" s="5" t="s">
        <v>254</v>
      </c>
      <c r="D83" s="79">
        <v>1.64</v>
      </c>
      <c r="E83" s="61">
        <v>2.2999999999999998</v>
      </c>
      <c r="F83" s="80">
        <v>-7.76</v>
      </c>
      <c r="G83" s="80">
        <v>-2.95</v>
      </c>
      <c r="H83" s="62"/>
      <c r="I83" s="62"/>
      <c r="J83" s="62"/>
      <c r="K83" s="62"/>
      <c r="L83" s="62"/>
      <c r="M83" s="62"/>
      <c r="N83" s="62"/>
    </row>
    <row r="84" spans="1:14" x14ac:dyDescent="0.25">
      <c r="A84" s="4"/>
      <c r="B84" s="316"/>
      <c r="C84" s="5" t="s">
        <v>171</v>
      </c>
      <c r="D84" s="92" t="s">
        <v>126</v>
      </c>
      <c r="E84" s="81" t="s">
        <v>126</v>
      </c>
      <c r="F84" s="80"/>
      <c r="G84" s="80"/>
      <c r="H84" s="62"/>
      <c r="I84" s="62"/>
      <c r="J84" s="62"/>
      <c r="K84" s="62"/>
      <c r="L84" s="62"/>
      <c r="M84" s="62"/>
      <c r="N84" s="62"/>
    </row>
    <row r="85" spans="1:14" x14ac:dyDescent="0.25">
      <c r="A85" s="4"/>
      <c r="B85" s="316"/>
      <c r="C85" s="5" t="s">
        <v>93</v>
      </c>
      <c r="D85" s="92" t="s">
        <v>126</v>
      </c>
      <c r="E85" s="81" t="s">
        <v>126</v>
      </c>
      <c r="F85" s="80"/>
      <c r="G85" s="80"/>
      <c r="H85" s="62"/>
      <c r="I85" s="62"/>
      <c r="J85" s="62"/>
      <c r="K85" s="62"/>
      <c r="L85" s="62"/>
      <c r="M85" s="62"/>
      <c r="N85" s="62"/>
    </row>
    <row r="86" spans="1:14" x14ac:dyDescent="0.2">
      <c r="A86" s="4"/>
      <c r="B86" s="316" t="s">
        <v>94</v>
      </c>
      <c r="C86" s="5" t="s">
        <v>254</v>
      </c>
      <c r="D86" s="79">
        <v>8.5399999999999991</v>
      </c>
      <c r="E86" s="61">
        <v>13.7</v>
      </c>
      <c r="F86" s="81" t="s">
        <v>123</v>
      </c>
      <c r="G86" s="103">
        <f>35.35/G83</f>
        <v>-11.983050847457626</v>
      </c>
      <c r="H86" s="62"/>
      <c r="I86" s="62"/>
      <c r="J86" s="62"/>
      <c r="K86" s="62"/>
      <c r="L86" s="62"/>
      <c r="M86" s="62"/>
      <c r="N86" s="62"/>
    </row>
    <row r="87" spans="1:14" x14ac:dyDescent="0.25">
      <c r="A87" s="4"/>
      <c r="B87" s="316"/>
      <c r="C87" s="5" t="s">
        <v>171</v>
      </c>
      <c r="D87" s="92" t="s">
        <v>126</v>
      </c>
      <c r="E87" s="81" t="s">
        <v>126</v>
      </c>
      <c r="F87" s="80"/>
      <c r="G87" s="80"/>
      <c r="H87" s="62"/>
      <c r="I87" s="62"/>
      <c r="J87" s="62"/>
      <c r="K87" s="62"/>
      <c r="L87" s="62"/>
      <c r="M87" s="62"/>
      <c r="N87" s="62"/>
    </row>
    <row r="88" spans="1:14" x14ac:dyDescent="0.25">
      <c r="A88" s="4"/>
      <c r="B88" s="316"/>
      <c r="C88" s="5" t="s">
        <v>93</v>
      </c>
      <c r="D88" s="92" t="s">
        <v>126</v>
      </c>
      <c r="E88" s="81" t="s">
        <v>126</v>
      </c>
      <c r="F88" s="80"/>
      <c r="G88" s="80"/>
      <c r="H88" s="62"/>
      <c r="I88" s="62"/>
      <c r="J88" s="62"/>
      <c r="K88" s="62"/>
      <c r="L88" s="62"/>
      <c r="M88" s="62"/>
      <c r="N88" s="62"/>
    </row>
    <row r="89" spans="1:14" x14ac:dyDescent="0.2">
      <c r="A89" s="4"/>
      <c r="B89" s="316" t="s">
        <v>95</v>
      </c>
      <c r="C89" s="5" t="s">
        <v>254</v>
      </c>
      <c r="D89" s="79">
        <v>7.79</v>
      </c>
      <c r="E89" s="61">
        <v>8.9</v>
      </c>
      <c r="F89" s="81" t="s">
        <v>123</v>
      </c>
      <c r="G89" s="104">
        <f>-318.01/-203.89</f>
        <v>1.5597135710432097</v>
      </c>
      <c r="H89" s="62"/>
      <c r="I89" s="62"/>
      <c r="J89" s="62"/>
      <c r="K89" s="62"/>
      <c r="L89" s="62"/>
      <c r="M89" s="62"/>
      <c r="N89" s="62"/>
    </row>
    <row r="90" spans="1:14" x14ac:dyDescent="0.25">
      <c r="A90" s="4"/>
      <c r="B90" s="316"/>
      <c r="C90" s="5" t="s">
        <v>171</v>
      </c>
      <c r="D90" s="92" t="s">
        <v>126</v>
      </c>
      <c r="E90" s="81" t="s">
        <v>126</v>
      </c>
      <c r="F90" s="80"/>
      <c r="G90" s="80"/>
      <c r="H90" s="62"/>
      <c r="I90" s="62"/>
      <c r="J90" s="62"/>
      <c r="K90" s="62"/>
      <c r="L90" s="62"/>
      <c r="M90" s="62"/>
      <c r="N90" s="62"/>
    </row>
    <row r="91" spans="1:14" x14ac:dyDescent="0.25">
      <c r="A91" s="4"/>
      <c r="B91" s="316"/>
      <c r="C91" s="5" t="s">
        <v>93</v>
      </c>
      <c r="D91" s="92" t="s">
        <v>126</v>
      </c>
      <c r="E91" s="81" t="s">
        <v>126</v>
      </c>
      <c r="F91" s="80"/>
      <c r="G91" s="80"/>
      <c r="H91" s="62"/>
      <c r="I91" s="62"/>
      <c r="J91" s="62"/>
      <c r="K91" s="66"/>
      <c r="L91" s="62"/>
      <c r="M91" s="62"/>
      <c r="N91" s="62"/>
    </row>
    <row r="92" spans="1:14" x14ac:dyDescent="0.2">
      <c r="A92" s="4"/>
      <c r="B92" s="316" t="s">
        <v>96</v>
      </c>
      <c r="C92" s="5" t="s">
        <v>254</v>
      </c>
      <c r="D92" s="79">
        <v>21.1</v>
      </c>
      <c r="E92" s="61">
        <v>25.85</v>
      </c>
      <c r="F92" s="80">
        <v>18.09</v>
      </c>
      <c r="G92" s="80">
        <f>-203.89/50</f>
        <v>-4.0777999999999999</v>
      </c>
      <c r="H92" s="62"/>
      <c r="I92" s="62"/>
      <c r="J92" s="62"/>
      <c r="K92" s="62"/>
      <c r="L92" s="62"/>
      <c r="M92" s="62"/>
      <c r="N92" s="62"/>
    </row>
    <row r="93" spans="1:14" x14ac:dyDescent="0.25">
      <c r="A93" s="4"/>
      <c r="B93" s="316"/>
      <c r="C93" s="5" t="s">
        <v>171</v>
      </c>
      <c r="D93" s="92" t="s">
        <v>126</v>
      </c>
      <c r="E93" s="81" t="s">
        <v>126</v>
      </c>
      <c r="F93" s="80"/>
      <c r="G93" s="80"/>
      <c r="H93" s="62"/>
      <c r="I93" s="62"/>
      <c r="J93" s="62"/>
      <c r="K93" s="62"/>
      <c r="L93" s="62"/>
      <c r="M93" s="62"/>
      <c r="N93" s="62"/>
    </row>
    <row r="94" spans="1:14" x14ac:dyDescent="0.25">
      <c r="A94" s="4"/>
      <c r="B94" s="386"/>
      <c r="C94" s="11" t="s">
        <v>93</v>
      </c>
      <c r="D94" s="92" t="s">
        <v>126</v>
      </c>
      <c r="E94" s="81" t="s">
        <v>126</v>
      </c>
      <c r="F94" s="80"/>
      <c r="G94" s="80"/>
      <c r="H94" s="62"/>
      <c r="I94" s="62"/>
      <c r="J94" s="62"/>
      <c r="K94" s="62"/>
      <c r="L94" s="62"/>
      <c r="M94" s="62"/>
      <c r="N94" s="62"/>
    </row>
    <row r="95" spans="1:14" s="57" customFormat="1" x14ac:dyDescent="0.25">
      <c r="B95" s="387" t="s">
        <v>172</v>
      </c>
      <c r="C95" s="388"/>
      <c r="D95" s="388"/>
      <c r="E95" s="388"/>
      <c r="F95" s="388"/>
      <c r="G95" s="389"/>
    </row>
    <row r="96" spans="1:14" x14ac:dyDescent="0.25">
      <c r="A96" s="4"/>
      <c r="B96" s="376" t="s">
        <v>224</v>
      </c>
      <c r="C96" s="377"/>
      <c r="D96" s="377"/>
      <c r="E96" s="377"/>
      <c r="F96" s="377"/>
      <c r="G96" s="378"/>
      <c r="H96" s="62"/>
      <c r="I96" s="62"/>
      <c r="J96" s="62"/>
      <c r="K96" s="62"/>
      <c r="L96" s="62"/>
      <c r="M96" s="62"/>
      <c r="N96" s="62"/>
    </row>
    <row r="97" spans="1:14" x14ac:dyDescent="0.25">
      <c r="A97" s="4"/>
      <c r="B97" s="379" t="s">
        <v>128</v>
      </c>
      <c r="C97" s="380"/>
      <c r="D97" s="380"/>
      <c r="E97" s="380"/>
      <c r="F97" s="380"/>
      <c r="G97" s="381"/>
      <c r="H97" s="62"/>
      <c r="I97" s="62"/>
      <c r="J97" s="62"/>
      <c r="K97" s="62"/>
      <c r="L97" s="62"/>
      <c r="M97" s="62"/>
      <c r="N97" s="62"/>
    </row>
    <row r="98" spans="1:14" x14ac:dyDescent="0.25">
      <c r="A98" s="4"/>
      <c r="B98" s="353"/>
      <c r="C98" s="354"/>
      <c r="D98" s="354"/>
      <c r="E98" s="354"/>
      <c r="F98" s="354"/>
      <c r="G98" s="355"/>
      <c r="H98" s="62"/>
      <c r="I98" s="62"/>
      <c r="J98" s="62"/>
      <c r="K98" s="62"/>
      <c r="L98" s="62"/>
      <c r="M98" s="62"/>
      <c r="N98" s="62"/>
    </row>
    <row r="99" spans="1:14" x14ac:dyDescent="0.25">
      <c r="A99" s="26"/>
      <c r="B99" s="12"/>
      <c r="C99" s="323"/>
      <c r="D99" s="323"/>
      <c r="E99" s="323"/>
      <c r="F99" s="323"/>
      <c r="G99" s="323"/>
      <c r="H99" s="62"/>
      <c r="I99" s="62"/>
      <c r="J99" s="26"/>
      <c r="K99" s="26"/>
      <c r="L99" s="26"/>
      <c r="M99" s="26"/>
      <c r="N99" s="26"/>
    </row>
    <row r="100" spans="1:14" x14ac:dyDescent="0.25">
      <c r="A100" s="13">
        <v>14</v>
      </c>
      <c r="B100" s="70" t="s">
        <v>99</v>
      </c>
      <c r="C100" s="324" t="s">
        <v>255</v>
      </c>
      <c r="D100" s="325"/>
      <c r="E100" s="325"/>
      <c r="F100" s="325"/>
      <c r="G100" s="326"/>
      <c r="H100" s="26"/>
      <c r="I100" s="26"/>
      <c r="J100" s="26"/>
      <c r="K100" s="26"/>
      <c r="L100" s="26"/>
      <c r="M100" s="26"/>
      <c r="N100" s="26"/>
    </row>
    <row r="101" spans="1:14" x14ac:dyDescent="0.25">
      <c r="A101" s="71"/>
      <c r="B101" s="6"/>
      <c r="C101" s="409" t="s">
        <v>256</v>
      </c>
      <c r="D101" s="410"/>
      <c r="E101" s="410"/>
      <c r="F101" s="410"/>
      <c r="G101" s="370"/>
      <c r="H101" s="26"/>
      <c r="I101" s="26"/>
      <c r="J101" s="26"/>
      <c r="K101" s="26"/>
      <c r="L101" s="26"/>
      <c r="M101" s="26"/>
      <c r="N101" s="26"/>
    </row>
    <row r="102" spans="1:14" x14ac:dyDescent="0.25">
      <c r="A102" s="71"/>
      <c r="B102" s="12"/>
      <c r="C102" s="14"/>
      <c r="D102" s="14"/>
      <c r="E102" s="14"/>
      <c r="F102" s="14"/>
      <c r="G102" s="14"/>
      <c r="H102" s="26"/>
      <c r="I102" s="26"/>
      <c r="J102" s="26"/>
      <c r="K102" s="26"/>
      <c r="L102" s="26"/>
      <c r="M102" s="26"/>
      <c r="N102" s="26"/>
    </row>
    <row r="103" spans="1:14" x14ac:dyDescent="0.25">
      <c r="A103" s="26"/>
      <c r="B103" s="374" t="s">
        <v>257</v>
      </c>
      <c r="C103" s="375"/>
      <c r="D103" s="375"/>
      <c r="E103" s="375"/>
      <c r="F103" s="375"/>
      <c r="G103" s="375"/>
      <c r="H103" s="375"/>
      <c r="I103" s="26"/>
      <c r="J103" s="26"/>
      <c r="K103" s="26"/>
      <c r="L103" s="26"/>
      <c r="M103" s="26"/>
      <c r="N103" s="26"/>
    </row>
    <row r="104" spans="1:14" x14ac:dyDescent="0.25">
      <c r="A104" s="26"/>
      <c r="B104" s="26"/>
      <c r="C104" s="26"/>
      <c r="D104" s="26"/>
      <c r="E104" s="26"/>
      <c r="F104" s="26"/>
      <c r="G104" s="26"/>
      <c r="H104" s="26"/>
      <c r="I104" s="26"/>
      <c r="J104" s="26"/>
      <c r="K104" s="26"/>
      <c r="L104" s="26"/>
      <c r="M104" s="26"/>
      <c r="N104" s="26"/>
    </row>
    <row r="105" spans="1:14" x14ac:dyDescent="0.25">
      <c r="A105" s="26"/>
      <c r="B105" s="26"/>
      <c r="C105" s="26"/>
      <c r="D105" s="26"/>
      <c r="E105" s="26"/>
      <c r="F105" s="26"/>
      <c r="G105" s="26"/>
      <c r="H105" s="26"/>
      <c r="I105" s="26"/>
      <c r="J105" s="26"/>
      <c r="K105" s="26"/>
      <c r="L105" s="26"/>
      <c r="M105" s="26"/>
      <c r="N105" s="26"/>
    </row>
  </sheetData>
  <sheetProtection password="E9DF" sheet="1" objects="1" scenarios="1"/>
  <mergeCells count="61">
    <mergeCell ref="C21:E21"/>
    <mergeCell ref="A1:B1"/>
    <mergeCell ref="C5:E5"/>
    <mergeCell ref="B6:D6"/>
    <mergeCell ref="B9:D9"/>
    <mergeCell ref="C11:E11"/>
    <mergeCell ref="B12:D12"/>
    <mergeCell ref="B15:C15"/>
    <mergeCell ref="B17:E17"/>
    <mergeCell ref="C18:E18"/>
    <mergeCell ref="C19:E19"/>
    <mergeCell ref="C20:E20"/>
    <mergeCell ref="B46:E46"/>
    <mergeCell ref="C22:E22"/>
    <mergeCell ref="B23:E23"/>
    <mergeCell ref="B26:E26"/>
    <mergeCell ref="B27:E27"/>
    <mergeCell ref="B33:E33"/>
    <mergeCell ref="B35:E35"/>
    <mergeCell ref="B39:C39"/>
    <mergeCell ref="B42:E42"/>
    <mergeCell ref="C43:E43"/>
    <mergeCell ref="C44:E44"/>
    <mergeCell ref="C45:E45"/>
    <mergeCell ref="B48:E48"/>
    <mergeCell ref="B50:E50"/>
    <mergeCell ref="B51:E51"/>
    <mergeCell ref="B53:E53"/>
    <mergeCell ref="B54:B55"/>
    <mergeCell ref="C54:E55"/>
    <mergeCell ref="C56:E56"/>
    <mergeCell ref="C57:E57"/>
    <mergeCell ref="B58:E58"/>
    <mergeCell ref="B59:E59"/>
    <mergeCell ref="C62:E62"/>
    <mergeCell ref="B86:B88"/>
    <mergeCell ref="F68:H68"/>
    <mergeCell ref="I68:K68"/>
    <mergeCell ref="L68:N68"/>
    <mergeCell ref="B73:N73"/>
    <mergeCell ref="B74:N74"/>
    <mergeCell ref="B75:N75"/>
    <mergeCell ref="B68:B69"/>
    <mergeCell ref="C68:C69"/>
    <mergeCell ref="D68:D69"/>
    <mergeCell ref="E68:E69"/>
    <mergeCell ref="B76:N76"/>
    <mergeCell ref="B77:N77"/>
    <mergeCell ref="B78:N78"/>
    <mergeCell ref="B80:G80"/>
    <mergeCell ref="B83:B85"/>
    <mergeCell ref="C99:G99"/>
    <mergeCell ref="C100:G100"/>
    <mergeCell ref="C101:G101"/>
    <mergeCell ref="B103:H103"/>
    <mergeCell ref="B89:B91"/>
    <mergeCell ref="B92:B94"/>
    <mergeCell ref="B95:G95"/>
    <mergeCell ref="B96:G96"/>
    <mergeCell ref="B97:G97"/>
    <mergeCell ref="B98:G9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topLeftCell="A51" workbookViewId="0">
      <selection activeCell="B57" sqref="B57"/>
    </sheetView>
  </sheetViews>
  <sheetFormatPr defaultColWidth="8.85546875" defaultRowHeight="12.75" x14ac:dyDescent="0.25"/>
  <cols>
    <col min="1" max="1" width="8.85546875" style="73"/>
    <col min="2" max="2" width="40.28515625" style="73" customWidth="1"/>
    <col min="3" max="3" width="40.85546875" style="73" customWidth="1"/>
    <col min="4" max="4" width="15.85546875" style="73" customWidth="1"/>
    <col min="5" max="5" width="22.28515625" style="73" customWidth="1"/>
    <col min="6" max="6" width="16.140625" style="73" customWidth="1"/>
    <col min="7" max="7" width="19" style="73" customWidth="1"/>
    <col min="8" max="16384" width="8.85546875" style="73"/>
  </cols>
  <sheetData>
    <row r="1" spans="1:25" ht="14.45" customHeight="1" x14ac:dyDescent="0.25">
      <c r="A1" s="369" t="s">
        <v>0</v>
      </c>
      <c r="B1" s="369"/>
      <c r="C1" s="26"/>
      <c r="D1" s="2"/>
      <c r="E1" s="26"/>
      <c r="F1" s="26"/>
      <c r="G1" s="26"/>
      <c r="H1" s="26"/>
      <c r="I1" s="26"/>
      <c r="J1" s="26"/>
      <c r="K1" s="26"/>
      <c r="L1" s="26"/>
      <c r="M1" s="26"/>
      <c r="N1" s="26"/>
    </row>
    <row r="2" spans="1:25" x14ac:dyDescent="0.25">
      <c r="A2" s="26"/>
      <c r="B2" s="26"/>
      <c r="C2" s="26"/>
      <c r="D2" s="26"/>
      <c r="E2" s="26"/>
      <c r="F2" s="26"/>
      <c r="G2" s="26"/>
      <c r="H2" s="26"/>
      <c r="I2" s="26"/>
      <c r="J2" s="26"/>
      <c r="K2" s="26"/>
      <c r="L2" s="26"/>
      <c r="M2" s="26"/>
      <c r="N2" s="26"/>
    </row>
    <row r="3" spans="1:25" ht="19.149999999999999" customHeight="1" x14ac:dyDescent="0.25">
      <c r="A3" s="4" t="s">
        <v>1</v>
      </c>
      <c r="B3" s="5" t="s">
        <v>2</v>
      </c>
      <c r="C3" s="6" t="s">
        <v>258</v>
      </c>
      <c r="D3" s="26"/>
      <c r="E3" s="26"/>
      <c r="F3" s="26"/>
      <c r="G3" s="26"/>
      <c r="H3" s="26"/>
      <c r="I3" s="12"/>
      <c r="J3" s="12"/>
      <c r="K3" s="12"/>
      <c r="L3" s="12"/>
      <c r="M3" s="12"/>
      <c r="N3" s="12"/>
      <c r="O3" s="74"/>
      <c r="P3" s="74"/>
      <c r="Q3" s="74"/>
      <c r="R3" s="74"/>
      <c r="S3" s="74"/>
      <c r="T3" s="74"/>
      <c r="U3" s="74"/>
      <c r="V3" s="74"/>
      <c r="W3" s="74"/>
      <c r="X3" s="74"/>
      <c r="Y3" s="74"/>
    </row>
    <row r="4" spans="1:25" x14ac:dyDescent="0.25">
      <c r="A4" s="26"/>
      <c r="B4" s="26"/>
      <c r="C4" s="26"/>
      <c r="D4" s="9"/>
      <c r="E4" s="26"/>
      <c r="F4" s="12"/>
      <c r="G4" s="12"/>
      <c r="H4" s="12"/>
      <c r="I4" s="12"/>
      <c r="J4" s="12"/>
      <c r="K4" s="12"/>
      <c r="L4" s="12"/>
      <c r="M4" s="12"/>
      <c r="N4" s="12"/>
      <c r="O4" s="74"/>
      <c r="P4" s="74"/>
      <c r="Q4" s="74"/>
      <c r="R4" s="74"/>
      <c r="S4" s="74"/>
      <c r="T4" s="74"/>
      <c r="U4" s="74"/>
      <c r="V4" s="74"/>
      <c r="W4" s="74"/>
      <c r="X4" s="74"/>
      <c r="Y4" s="74"/>
    </row>
    <row r="5" spans="1:25" ht="21" customHeight="1" x14ac:dyDescent="0.25">
      <c r="A5" s="10">
        <v>1</v>
      </c>
      <c r="B5" s="11" t="s">
        <v>4</v>
      </c>
      <c r="C5" s="324" t="s">
        <v>259</v>
      </c>
      <c r="D5" s="325"/>
      <c r="E5" s="370"/>
      <c r="F5" s="12"/>
      <c r="G5" s="12"/>
      <c r="H5" s="12"/>
      <c r="I5" s="12"/>
      <c r="J5" s="12"/>
      <c r="K5" s="12"/>
      <c r="L5" s="12"/>
      <c r="M5" s="12"/>
      <c r="N5" s="12"/>
    </row>
    <row r="6" spans="1:25" ht="15" customHeight="1" x14ac:dyDescent="0.25">
      <c r="A6" s="13"/>
      <c r="B6" s="382" t="s">
        <v>6</v>
      </c>
      <c r="C6" s="382"/>
      <c r="D6" s="382"/>
      <c r="E6" s="14"/>
      <c r="F6" s="12"/>
      <c r="G6" s="12"/>
      <c r="H6" s="12"/>
      <c r="I6" s="12"/>
      <c r="J6" s="12"/>
      <c r="K6" s="12"/>
      <c r="L6" s="12"/>
      <c r="M6" s="12"/>
      <c r="N6" s="12"/>
    </row>
    <row r="7" spans="1:25" x14ac:dyDescent="0.25">
      <c r="A7" s="13"/>
      <c r="B7" s="15"/>
      <c r="C7" s="12"/>
      <c r="D7" s="9"/>
      <c r="E7" s="12"/>
      <c r="F7" s="12"/>
      <c r="G7" s="12"/>
      <c r="H7" s="12"/>
      <c r="I7" s="12"/>
      <c r="J7" s="12"/>
      <c r="K7" s="12"/>
      <c r="L7" s="12"/>
      <c r="M7" s="12"/>
      <c r="N7" s="12"/>
    </row>
    <row r="8" spans="1:25" ht="21" customHeight="1" x14ac:dyDescent="0.25">
      <c r="A8" s="13">
        <v>2</v>
      </c>
      <c r="B8" s="11" t="s">
        <v>7</v>
      </c>
      <c r="C8" s="16" t="s">
        <v>260</v>
      </c>
      <c r="D8" s="9"/>
      <c r="E8" s="12"/>
      <c r="F8" s="12"/>
      <c r="G8" s="12"/>
      <c r="H8" s="12"/>
      <c r="I8" s="12"/>
      <c r="J8" s="12"/>
      <c r="K8" s="12"/>
      <c r="L8" s="12"/>
      <c r="M8" s="12"/>
      <c r="N8" s="12"/>
    </row>
    <row r="9" spans="1:25" ht="16.149999999999999" customHeight="1" x14ac:dyDescent="0.25">
      <c r="A9" s="13"/>
      <c r="B9" s="400" t="s">
        <v>6</v>
      </c>
      <c r="C9" s="401"/>
      <c r="D9" s="402"/>
      <c r="E9" s="12"/>
      <c r="F9" s="12"/>
      <c r="G9" s="12"/>
      <c r="H9" s="12"/>
      <c r="I9" s="12"/>
      <c r="J9" s="12"/>
      <c r="K9" s="12"/>
      <c r="L9" s="12"/>
      <c r="M9" s="12"/>
      <c r="N9" s="12"/>
    </row>
    <row r="10" spans="1:25" x14ac:dyDescent="0.25">
      <c r="A10" s="13"/>
      <c r="B10" s="15"/>
      <c r="C10" s="12"/>
      <c r="D10" s="9"/>
      <c r="E10" s="12"/>
      <c r="F10" s="12"/>
      <c r="G10" s="12"/>
      <c r="H10" s="12"/>
      <c r="I10" s="12"/>
      <c r="J10" s="12"/>
      <c r="K10" s="12"/>
      <c r="L10" s="12"/>
      <c r="M10" s="12"/>
      <c r="N10" s="12"/>
    </row>
    <row r="11" spans="1:25" ht="30.6" customHeight="1" x14ac:dyDescent="0.25">
      <c r="A11" s="13">
        <v>3</v>
      </c>
      <c r="B11" s="11" t="s">
        <v>9</v>
      </c>
      <c r="C11" s="324" t="s">
        <v>10</v>
      </c>
      <c r="D11" s="325"/>
      <c r="E11" s="370"/>
      <c r="F11" s="26"/>
      <c r="G11" s="26"/>
      <c r="H11" s="26"/>
      <c r="I11" s="26"/>
      <c r="J11" s="26"/>
      <c r="K11" s="26"/>
      <c r="L11" s="26"/>
      <c r="M11" s="26"/>
      <c r="N11" s="26"/>
    </row>
    <row r="12" spans="1:25" ht="17.45" customHeight="1" x14ac:dyDescent="0.25">
      <c r="A12" s="13"/>
      <c r="B12" s="382" t="s">
        <v>6</v>
      </c>
      <c r="C12" s="382"/>
      <c r="D12" s="382"/>
      <c r="E12" s="14"/>
      <c r="F12" s="26"/>
      <c r="G12" s="26"/>
      <c r="H12" s="26"/>
      <c r="I12" s="26"/>
      <c r="J12" s="26"/>
      <c r="K12" s="26"/>
      <c r="L12" s="26"/>
      <c r="M12" s="26"/>
      <c r="N12" s="26"/>
    </row>
    <row r="13" spans="1:25" x14ac:dyDescent="0.25">
      <c r="A13" s="13"/>
      <c r="B13" s="15"/>
      <c r="C13" s="12"/>
      <c r="D13" s="9"/>
      <c r="E13" s="26" t="s">
        <v>741</v>
      </c>
      <c r="F13" s="26"/>
      <c r="G13" s="26"/>
      <c r="H13" s="26"/>
      <c r="I13" s="26"/>
      <c r="J13" s="26"/>
      <c r="K13" s="26"/>
      <c r="L13" s="26"/>
      <c r="M13" s="26"/>
      <c r="N13" s="26"/>
    </row>
    <row r="14" spans="1:25" ht="30.6" customHeight="1" x14ac:dyDescent="0.25">
      <c r="A14" s="13">
        <v>4</v>
      </c>
      <c r="B14" s="5" t="s">
        <v>11</v>
      </c>
      <c r="C14" s="6" t="s">
        <v>261</v>
      </c>
      <c r="D14" s="9"/>
      <c r="E14" s="26"/>
      <c r="F14" s="26"/>
      <c r="G14" s="26"/>
      <c r="H14" s="26"/>
      <c r="I14" s="26"/>
      <c r="J14" s="26"/>
      <c r="K14" s="26"/>
      <c r="L14" s="26"/>
      <c r="M14" s="26"/>
      <c r="N14" s="26"/>
    </row>
    <row r="15" spans="1:25" ht="14.45" customHeight="1" x14ac:dyDescent="0.25">
      <c r="A15" s="13"/>
      <c r="B15" s="353" t="s">
        <v>13</v>
      </c>
      <c r="C15" s="385"/>
      <c r="D15" s="9"/>
      <c r="E15" s="26"/>
      <c r="F15" s="12"/>
      <c r="G15" s="26" t="s">
        <v>742</v>
      </c>
      <c r="H15" s="26"/>
      <c r="I15" s="26"/>
      <c r="J15" s="26"/>
      <c r="K15" s="26"/>
      <c r="L15" s="26"/>
      <c r="M15" s="26"/>
      <c r="N15" s="26"/>
    </row>
    <row r="16" spans="1:25" x14ac:dyDescent="0.25">
      <c r="A16" s="13"/>
      <c r="B16" s="26"/>
      <c r="C16" s="12"/>
      <c r="D16" s="9"/>
      <c r="E16" s="26"/>
      <c r="F16" s="26"/>
      <c r="G16" s="26"/>
      <c r="H16" s="26"/>
      <c r="I16" s="26"/>
      <c r="J16" s="26"/>
      <c r="K16" s="26"/>
      <c r="L16" s="26"/>
      <c r="M16" s="26"/>
      <c r="N16" s="26"/>
    </row>
    <row r="17" spans="1:14" x14ac:dyDescent="0.25">
      <c r="A17" s="13">
        <v>5</v>
      </c>
      <c r="B17" s="333" t="s">
        <v>14</v>
      </c>
      <c r="C17" s="372"/>
      <c r="D17" s="372"/>
      <c r="E17" s="372"/>
      <c r="F17" s="15"/>
      <c r="G17" s="15"/>
      <c r="H17" s="15"/>
      <c r="I17" s="15"/>
      <c r="J17" s="17"/>
      <c r="K17" s="17"/>
      <c r="L17" s="17"/>
      <c r="M17" s="17"/>
      <c r="N17" s="17"/>
    </row>
    <row r="18" spans="1:14" x14ac:dyDescent="0.25">
      <c r="A18" s="13"/>
      <c r="B18" s="18" t="s">
        <v>15</v>
      </c>
      <c r="C18" s="373" t="s">
        <v>16</v>
      </c>
      <c r="D18" s="373"/>
      <c r="E18" s="373"/>
      <c r="F18" s="19"/>
      <c r="G18" s="17"/>
      <c r="H18" s="17"/>
      <c r="I18" s="17"/>
      <c r="J18" s="17"/>
      <c r="K18" s="17"/>
      <c r="L18" s="17"/>
      <c r="M18" s="17"/>
      <c r="N18" s="17"/>
    </row>
    <row r="19" spans="1:14" ht="25.5" x14ac:dyDescent="0.25">
      <c r="A19" s="13"/>
      <c r="B19" s="18" t="s">
        <v>262</v>
      </c>
      <c r="C19" s="363" t="s">
        <v>16</v>
      </c>
      <c r="D19" s="363"/>
      <c r="E19" s="363"/>
      <c r="F19" s="19"/>
      <c r="G19" s="17"/>
      <c r="I19" s="17"/>
      <c r="J19" s="17"/>
      <c r="K19" s="17"/>
      <c r="L19" s="17"/>
      <c r="M19" s="17"/>
      <c r="N19" s="17"/>
    </row>
    <row r="20" spans="1:14" x14ac:dyDescent="0.25">
      <c r="A20" s="13"/>
      <c r="B20" s="18" t="s">
        <v>18</v>
      </c>
      <c r="C20" s="363" t="s">
        <v>16</v>
      </c>
      <c r="D20" s="363"/>
      <c r="E20" s="363"/>
      <c r="F20" s="19"/>
      <c r="G20" s="17"/>
      <c r="H20" s="17"/>
      <c r="I20" s="17"/>
      <c r="J20" s="17"/>
      <c r="K20" s="17"/>
      <c r="L20" s="17"/>
      <c r="M20" s="17"/>
      <c r="N20" s="17"/>
    </row>
    <row r="21" spans="1:14" x14ac:dyDescent="0.25">
      <c r="A21" s="13"/>
      <c r="B21" s="18" t="s">
        <v>19</v>
      </c>
      <c r="C21" s="363" t="s">
        <v>16</v>
      </c>
      <c r="D21" s="363"/>
      <c r="E21" s="363"/>
      <c r="F21" s="19"/>
      <c r="G21" s="17"/>
      <c r="H21" s="17"/>
      <c r="I21" s="17"/>
      <c r="J21" s="17"/>
      <c r="K21" s="17"/>
      <c r="L21" s="17"/>
      <c r="M21" s="17"/>
      <c r="N21" s="17"/>
    </row>
    <row r="22" spans="1:14" x14ac:dyDescent="0.25">
      <c r="A22" s="13"/>
      <c r="B22" s="20" t="s">
        <v>20</v>
      </c>
      <c r="C22" s="363" t="s">
        <v>16</v>
      </c>
      <c r="D22" s="363"/>
      <c r="E22" s="363"/>
      <c r="F22" s="19"/>
      <c r="G22" s="17"/>
      <c r="H22" s="17"/>
      <c r="I22" s="17"/>
      <c r="J22" s="17"/>
      <c r="K22" s="17"/>
      <c r="L22" s="17"/>
      <c r="M22" s="17"/>
      <c r="N22" s="17"/>
    </row>
    <row r="23" spans="1:14" x14ac:dyDescent="0.25">
      <c r="A23" s="13"/>
      <c r="B23" s="382" t="s">
        <v>21</v>
      </c>
      <c r="C23" s="382"/>
      <c r="D23" s="382"/>
      <c r="E23" s="382"/>
      <c r="F23" s="19"/>
      <c r="G23" s="17"/>
      <c r="H23" s="17"/>
      <c r="I23" s="17"/>
      <c r="J23" s="17"/>
      <c r="K23" s="17"/>
      <c r="L23" s="17"/>
      <c r="M23" s="17"/>
      <c r="N23" s="17"/>
    </row>
    <row r="24" spans="1:14" x14ac:dyDescent="0.25">
      <c r="A24" s="13"/>
      <c r="C24" s="17"/>
      <c r="D24" s="17"/>
      <c r="E24" s="17"/>
      <c r="F24" s="19"/>
      <c r="G24" s="17"/>
      <c r="H24" s="17"/>
      <c r="I24" s="17"/>
      <c r="J24" s="17"/>
      <c r="K24" s="17"/>
      <c r="L24" s="17"/>
      <c r="M24" s="17"/>
      <c r="N24" s="17"/>
    </row>
    <row r="25" spans="1:14" x14ac:dyDescent="0.25">
      <c r="A25" s="13"/>
      <c r="B25" s="19"/>
      <c r="C25" s="19"/>
      <c r="D25" s="19"/>
      <c r="E25" s="19"/>
      <c r="F25" s="19"/>
      <c r="G25" s="17"/>
      <c r="H25" s="17"/>
      <c r="I25" s="17"/>
      <c r="J25" s="17"/>
      <c r="K25" s="17"/>
      <c r="L25" s="17"/>
      <c r="M25" s="17"/>
      <c r="N25" s="17"/>
    </row>
    <row r="26" spans="1:14" x14ac:dyDescent="0.25">
      <c r="A26" s="13">
        <v>6</v>
      </c>
      <c r="B26" s="333" t="s">
        <v>22</v>
      </c>
      <c r="C26" s="333"/>
      <c r="D26" s="333"/>
      <c r="E26" s="333"/>
      <c r="F26" s="15"/>
      <c r="G26" s="15"/>
      <c r="H26" s="17"/>
      <c r="I26" s="15"/>
      <c r="J26" s="15"/>
      <c r="K26" s="26"/>
      <c r="L26" s="26"/>
      <c r="M26" s="26"/>
      <c r="N26" s="26"/>
    </row>
    <row r="27" spans="1:14" x14ac:dyDescent="0.25">
      <c r="A27" s="13"/>
      <c r="B27" s="364" t="s">
        <v>23</v>
      </c>
      <c r="C27" s="365"/>
      <c r="D27" s="365"/>
      <c r="E27" s="366"/>
      <c r="F27" s="19"/>
      <c r="G27" s="26"/>
      <c r="H27" s="26"/>
      <c r="I27" s="26"/>
      <c r="J27" s="26"/>
      <c r="K27" s="26"/>
      <c r="L27" s="26"/>
      <c r="M27" s="26"/>
      <c r="N27" s="26"/>
    </row>
    <row r="28" spans="1:14" x14ac:dyDescent="0.25">
      <c r="A28" s="13"/>
      <c r="B28" s="21" t="s">
        <v>24</v>
      </c>
      <c r="C28" s="22" t="s">
        <v>264</v>
      </c>
      <c r="D28" s="22" t="s">
        <v>26</v>
      </c>
      <c r="E28" s="22" t="s">
        <v>27</v>
      </c>
      <c r="F28" s="19"/>
      <c r="G28" s="26"/>
      <c r="H28" s="26"/>
      <c r="I28" s="26"/>
      <c r="J28" s="26"/>
      <c r="K28" s="26"/>
      <c r="L28" s="26"/>
      <c r="M28" s="26"/>
      <c r="N28" s="26"/>
    </row>
    <row r="29" spans="1:14" ht="12.75" customHeight="1" x14ac:dyDescent="0.25">
      <c r="A29" s="13"/>
      <c r="B29" s="23" t="s">
        <v>28</v>
      </c>
      <c r="C29" s="24">
        <v>4231.9799999999996</v>
      </c>
      <c r="D29" s="24">
        <v>4755.47</v>
      </c>
      <c r="E29" s="151">
        <v>5653.05</v>
      </c>
      <c r="F29" s="19"/>
      <c r="G29" s="26"/>
      <c r="H29" s="26"/>
      <c r="I29" s="26"/>
      <c r="J29" s="26"/>
      <c r="K29" s="26"/>
      <c r="L29" s="26"/>
      <c r="M29" s="26"/>
      <c r="N29" s="26"/>
    </row>
    <row r="30" spans="1:14" x14ac:dyDescent="0.25">
      <c r="A30" s="13"/>
      <c r="B30" s="23" t="s">
        <v>29</v>
      </c>
      <c r="C30" s="24">
        <v>253.74</v>
      </c>
      <c r="D30" s="24">
        <v>586.98</v>
      </c>
      <c r="E30" s="151">
        <v>802.64</v>
      </c>
      <c r="F30" s="19"/>
      <c r="G30" s="26"/>
      <c r="H30" s="26"/>
      <c r="I30" s="26"/>
      <c r="J30" s="26"/>
      <c r="K30" s="26"/>
      <c r="L30" s="26"/>
      <c r="M30" s="26"/>
      <c r="N30" s="26"/>
    </row>
    <row r="31" spans="1:14" x14ac:dyDescent="0.25">
      <c r="A31" s="13"/>
      <c r="B31" s="23" t="s">
        <v>30</v>
      </c>
      <c r="C31" s="24">
        <v>717.95</v>
      </c>
      <c r="D31" s="24">
        <v>717.95</v>
      </c>
      <c r="E31" s="151">
        <v>1005.13</v>
      </c>
      <c r="F31" s="19"/>
      <c r="G31" s="26"/>
      <c r="H31" s="26"/>
      <c r="I31" s="26"/>
      <c r="J31" s="26"/>
      <c r="K31" s="26"/>
      <c r="L31" s="26"/>
      <c r="M31" s="26"/>
      <c r="N31" s="26"/>
    </row>
    <row r="32" spans="1:14" x14ac:dyDescent="0.25">
      <c r="A32" s="13"/>
      <c r="B32" s="23" t="s">
        <v>31</v>
      </c>
      <c r="C32" s="24">
        <v>1133.78</v>
      </c>
      <c r="D32" s="24">
        <v>1720.78</v>
      </c>
      <c r="E32" s="151">
        <v>2236.2399999999998</v>
      </c>
      <c r="F32" s="19"/>
      <c r="G32" s="26"/>
      <c r="H32" s="26"/>
      <c r="I32" s="26"/>
      <c r="J32" s="26"/>
      <c r="K32" s="26"/>
      <c r="L32" s="26"/>
      <c r="M32" s="26"/>
      <c r="N32" s="26"/>
    </row>
    <row r="33" spans="1:14" x14ac:dyDescent="0.25">
      <c r="A33" s="13"/>
      <c r="B33" s="353" t="s">
        <v>266</v>
      </c>
      <c r="C33" s="354"/>
      <c r="D33" s="354"/>
      <c r="E33" s="355"/>
      <c r="F33" s="19"/>
      <c r="G33" s="26"/>
      <c r="H33" s="26"/>
      <c r="I33" s="26"/>
      <c r="J33" s="26"/>
      <c r="K33" s="26"/>
      <c r="L33" s="26"/>
      <c r="M33" s="26"/>
      <c r="N33" s="26"/>
    </row>
    <row r="34" spans="1:14" x14ac:dyDescent="0.25">
      <c r="A34" s="13"/>
      <c r="B34" s="17"/>
      <c r="C34" s="19"/>
      <c r="D34" s="19"/>
      <c r="E34" s="19"/>
      <c r="F34" s="19"/>
      <c r="G34" s="26"/>
      <c r="H34" s="26"/>
      <c r="I34" s="26"/>
      <c r="J34" s="26"/>
      <c r="K34" s="26"/>
      <c r="L34" s="26"/>
      <c r="M34" s="26"/>
      <c r="N34" s="26"/>
    </row>
    <row r="35" spans="1:14" x14ac:dyDescent="0.25">
      <c r="A35" s="13">
        <v>7</v>
      </c>
      <c r="B35" s="333" t="s">
        <v>33</v>
      </c>
      <c r="C35" s="333"/>
      <c r="D35" s="333"/>
      <c r="E35" s="333"/>
      <c r="F35" s="15"/>
      <c r="G35" s="15"/>
      <c r="H35" s="15"/>
      <c r="I35" s="15"/>
      <c r="J35" s="15"/>
      <c r="K35" s="26"/>
      <c r="L35" s="26"/>
      <c r="M35" s="26"/>
      <c r="N35" s="26"/>
    </row>
    <row r="36" spans="1:14" x14ac:dyDescent="0.25">
      <c r="A36" s="13"/>
      <c r="B36" s="21" t="s">
        <v>34</v>
      </c>
      <c r="C36" s="24" t="s">
        <v>245</v>
      </c>
      <c r="D36" s="17"/>
      <c r="E36" s="17"/>
      <c r="F36" s="17"/>
      <c r="G36" s="26"/>
      <c r="H36" s="26"/>
      <c r="I36" s="26"/>
      <c r="J36" s="26"/>
      <c r="K36" s="26"/>
      <c r="L36" s="26"/>
      <c r="M36" s="26"/>
      <c r="N36" s="26"/>
    </row>
    <row r="37" spans="1:14" x14ac:dyDescent="0.25">
      <c r="A37" s="13"/>
      <c r="B37" s="21" t="s">
        <v>36</v>
      </c>
      <c r="C37" s="24" t="s">
        <v>245</v>
      </c>
      <c r="D37" s="17"/>
      <c r="E37" s="17"/>
      <c r="F37" s="17"/>
      <c r="G37" s="26"/>
      <c r="H37" s="26"/>
      <c r="I37" s="26"/>
      <c r="J37" s="26"/>
      <c r="K37" s="26"/>
      <c r="L37" s="26"/>
      <c r="M37" s="26"/>
      <c r="N37" s="26"/>
    </row>
    <row r="38" spans="1:14" x14ac:dyDescent="0.25">
      <c r="A38" s="13"/>
      <c r="B38" s="27" t="s">
        <v>37</v>
      </c>
      <c r="C38" s="151" t="s">
        <v>245</v>
      </c>
      <c r="D38" s="17"/>
      <c r="E38" s="17"/>
      <c r="F38" s="17"/>
      <c r="G38" s="26"/>
      <c r="H38" s="26"/>
      <c r="I38" s="26"/>
      <c r="J38" s="26"/>
      <c r="K38" s="26"/>
      <c r="L38" s="26"/>
      <c r="M38" s="26"/>
      <c r="N38" s="26"/>
    </row>
    <row r="39" spans="1:14" x14ac:dyDescent="0.25">
      <c r="A39" s="13"/>
      <c r="B39" s="382" t="s">
        <v>21</v>
      </c>
      <c r="C39" s="382"/>
      <c r="D39" s="17"/>
      <c r="E39" s="17"/>
      <c r="F39" s="17"/>
      <c r="G39" s="26"/>
      <c r="H39" s="26"/>
      <c r="I39" s="26"/>
      <c r="J39" s="26"/>
      <c r="K39" s="26"/>
      <c r="L39" s="26"/>
      <c r="M39" s="26"/>
      <c r="N39" s="26"/>
    </row>
    <row r="40" spans="1:14" x14ac:dyDescent="0.25">
      <c r="A40" s="13"/>
      <c r="B40" s="74"/>
      <c r="C40" s="17"/>
      <c r="D40" s="17"/>
      <c r="E40" s="17"/>
      <c r="F40" s="17"/>
      <c r="G40" s="26"/>
      <c r="H40" s="26"/>
      <c r="I40" s="26"/>
      <c r="J40" s="26"/>
      <c r="K40" s="26"/>
      <c r="L40" s="26"/>
      <c r="M40" s="26"/>
      <c r="N40" s="26"/>
    </row>
    <row r="41" spans="1:14" x14ac:dyDescent="0.25">
      <c r="A41" s="13"/>
      <c r="B41" s="19"/>
      <c r="C41" s="17"/>
      <c r="D41" s="17"/>
      <c r="E41" s="17"/>
      <c r="F41" s="17"/>
      <c r="G41" s="26"/>
      <c r="H41" s="26"/>
      <c r="I41" s="26"/>
      <c r="J41" s="26"/>
      <c r="K41" s="26"/>
      <c r="L41" s="26"/>
      <c r="M41" s="26"/>
      <c r="N41" s="26"/>
    </row>
    <row r="42" spans="1:14" x14ac:dyDescent="0.25">
      <c r="A42" s="13">
        <v>8</v>
      </c>
      <c r="B42" s="333" t="s">
        <v>38</v>
      </c>
      <c r="C42" s="333"/>
      <c r="D42" s="333"/>
      <c r="E42" s="333"/>
      <c r="F42" s="15"/>
      <c r="G42" s="15"/>
      <c r="H42" s="15"/>
      <c r="I42" s="15"/>
      <c r="J42" s="15"/>
      <c r="K42" s="26"/>
      <c r="L42" s="26"/>
      <c r="M42" s="26"/>
      <c r="N42" s="26"/>
    </row>
    <row r="43" spans="1:14" x14ac:dyDescent="0.25">
      <c r="A43" s="13"/>
      <c r="B43" s="21" t="s">
        <v>39</v>
      </c>
      <c r="C43" s="350" t="s">
        <v>267</v>
      </c>
      <c r="D43" s="351"/>
      <c r="E43" s="352"/>
      <c r="F43" s="17"/>
      <c r="G43" s="26"/>
      <c r="H43" s="26"/>
      <c r="I43" s="26"/>
      <c r="J43" s="26"/>
      <c r="K43" s="26"/>
      <c r="L43" s="26"/>
      <c r="M43" s="26"/>
      <c r="N43" s="26"/>
    </row>
    <row r="44" spans="1:14" x14ac:dyDescent="0.25">
      <c r="A44" s="13"/>
      <c r="B44" s="21" t="s">
        <v>36</v>
      </c>
      <c r="C44" s="350" t="s">
        <v>107</v>
      </c>
      <c r="D44" s="351"/>
      <c r="E44" s="352"/>
      <c r="F44" s="17"/>
      <c r="G44" s="26"/>
      <c r="H44" s="26"/>
      <c r="I44" s="26"/>
      <c r="J44" s="26"/>
      <c r="K44" s="26"/>
      <c r="L44" s="26"/>
      <c r="M44" s="26"/>
      <c r="N44" s="26"/>
    </row>
    <row r="45" spans="1:14" x14ac:dyDescent="0.25">
      <c r="A45" s="13"/>
      <c r="B45" s="21" t="s">
        <v>37</v>
      </c>
      <c r="C45" s="350" t="s">
        <v>107</v>
      </c>
      <c r="D45" s="351"/>
      <c r="E45" s="352"/>
      <c r="F45" s="17"/>
      <c r="G45" s="26"/>
      <c r="H45" s="26"/>
      <c r="I45" s="26"/>
      <c r="J45" s="26"/>
      <c r="K45" s="26"/>
      <c r="L45" s="26"/>
      <c r="M45" s="26"/>
      <c r="N45" s="26"/>
    </row>
    <row r="46" spans="1:14" x14ac:dyDescent="0.25">
      <c r="A46" s="13"/>
      <c r="B46" s="353" t="s">
        <v>40</v>
      </c>
      <c r="C46" s="354"/>
      <c r="D46" s="354"/>
      <c r="E46" s="355"/>
      <c r="F46" s="17"/>
      <c r="G46" s="26"/>
      <c r="H46" s="26"/>
      <c r="I46" s="26"/>
      <c r="J46" s="26"/>
      <c r="K46" s="26"/>
      <c r="L46" s="26"/>
      <c r="M46" s="26"/>
      <c r="N46" s="26"/>
    </row>
    <row r="47" spans="1:14" x14ac:dyDescent="0.25">
      <c r="A47" s="4"/>
      <c r="B47" s="12"/>
      <c r="C47" s="12"/>
      <c r="D47" s="28"/>
      <c r="E47" s="17"/>
      <c r="F47" s="26"/>
      <c r="G47" s="26"/>
      <c r="H47" s="26"/>
      <c r="I47" s="26"/>
      <c r="J47" s="26"/>
      <c r="K47" s="26"/>
      <c r="L47" s="26"/>
      <c r="M47" s="26"/>
      <c r="N47" s="26"/>
    </row>
    <row r="48" spans="1:14" x14ac:dyDescent="0.25">
      <c r="A48" s="29">
        <v>9</v>
      </c>
      <c r="B48" s="340" t="s">
        <v>41</v>
      </c>
      <c r="C48" s="333"/>
      <c r="D48" s="333"/>
      <c r="E48" s="333"/>
      <c r="F48" s="30"/>
      <c r="G48" s="15"/>
      <c r="H48" s="15"/>
      <c r="I48" s="15"/>
      <c r="J48" s="26"/>
      <c r="K48" s="26"/>
      <c r="L48" s="26"/>
      <c r="M48" s="26"/>
    </row>
    <row r="49" spans="1:14" ht="25.5" x14ac:dyDescent="0.25">
      <c r="A49" s="29"/>
      <c r="B49" s="31" t="s">
        <v>42</v>
      </c>
      <c r="C49" s="32" t="s">
        <v>43</v>
      </c>
      <c r="D49" s="33" t="s">
        <v>44</v>
      </c>
      <c r="E49" s="32" t="s">
        <v>268</v>
      </c>
      <c r="F49" s="26"/>
      <c r="G49" s="26"/>
      <c r="H49" s="26"/>
      <c r="I49" s="26"/>
      <c r="J49" s="26"/>
      <c r="K49" s="26"/>
      <c r="L49" s="26"/>
      <c r="M49" s="26"/>
    </row>
    <row r="50" spans="1:14" ht="30" customHeight="1" x14ac:dyDescent="0.25">
      <c r="A50" s="34"/>
      <c r="B50" s="94" t="s">
        <v>269</v>
      </c>
      <c r="C50" s="94" t="s">
        <v>270</v>
      </c>
      <c r="D50" s="33"/>
      <c r="E50" s="32"/>
      <c r="F50" s="26"/>
      <c r="G50" s="26"/>
      <c r="H50" s="26"/>
      <c r="I50" s="26"/>
      <c r="J50" s="26"/>
      <c r="K50" s="26"/>
      <c r="L50" s="26"/>
      <c r="M50" s="26"/>
    </row>
    <row r="51" spans="1:14" x14ac:dyDescent="0.25">
      <c r="A51" s="34"/>
      <c r="B51" s="391"/>
      <c r="C51" s="392"/>
      <c r="D51" s="392"/>
      <c r="E51" s="393"/>
      <c r="F51" s="26"/>
      <c r="G51" s="26"/>
      <c r="H51" s="26"/>
      <c r="I51" s="26"/>
      <c r="J51" s="26"/>
      <c r="K51" s="26"/>
      <c r="L51" s="26"/>
      <c r="M51" s="26"/>
    </row>
    <row r="52" spans="1:14" x14ac:dyDescent="0.25">
      <c r="A52" s="36"/>
      <c r="B52" s="345" t="s">
        <v>271</v>
      </c>
      <c r="C52" s="346"/>
      <c r="D52" s="346"/>
      <c r="E52" s="347"/>
      <c r="F52" s="19"/>
      <c r="G52" s="19"/>
      <c r="H52" s="19"/>
      <c r="I52" s="26"/>
      <c r="J52" s="26"/>
      <c r="K52" s="26"/>
      <c r="L52" s="26"/>
      <c r="M52" s="26"/>
    </row>
    <row r="53" spans="1:14" x14ac:dyDescent="0.25">
      <c r="A53" s="37"/>
      <c r="B53" s="75"/>
      <c r="C53" s="28"/>
      <c r="D53" s="28"/>
      <c r="E53" s="28"/>
      <c r="F53" s="19"/>
      <c r="G53" s="19"/>
      <c r="H53" s="19"/>
      <c r="I53" s="19"/>
      <c r="J53" s="26"/>
      <c r="K53" s="26"/>
      <c r="L53" s="26"/>
      <c r="M53" s="26"/>
      <c r="N53" s="26"/>
    </row>
    <row r="54" spans="1:14" x14ac:dyDescent="0.25">
      <c r="A54" s="29">
        <v>10</v>
      </c>
      <c r="B54" s="340" t="s">
        <v>41</v>
      </c>
      <c r="C54" s="333"/>
      <c r="D54" s="333"/>
      <c r="E54" s="333"/>
      <c r="F54" s="19"/>
      <c r="G54" s="19"/>
      <c r="H54" s="19"/>
      <c r="I54" s="26"/>
      <c r="J54" s="26"/>
      <c r="K54" s="26"/>
      <c r="L54" s="26"/>
      <c r="M54" s="26"/>
    </row>
    <row r="55" spans="1:14" x14ac:dyDescent="0.25">
      <c r="A55" s="34"/>
      <c r="B55" s="357" t="s">
        <v>50</v>
      </c>
      <c r="C55" s="394" t="s">
        <v>272</v>
      </c>
      <c r="D55" s="395"/>
      <c r="E55" s="396"/>
      <c r="F55" s="26"/>
      <c r="G55" s="26"/>
      <c r="H55" s="26"/>
      <c r="I55" s="26"/>
      <c r="J55" s="26"/>
      <c r="K55" s="2"/>
      <c r="L55" s="26"/>
      <c r="M55" s="26"/>
    </row>
    <row r="56" spans="1:14" x14ac:dyDescent="0.25">
      <c r="A56" s="34"/>
      <c r="B56" s="358"/>
      <c r="C56" s="397"/>
      <c r="D56" s="398"/>
      <c r="E56" s="399"/>
      <c r="F56" s="26"/>
      <c r="G56" s="26"/>
      <c r="H56" s="26"/>
      <c r="I56" s="26"/>
      <c r="J56" s="26"/>
      <c r="K56" s="2"/>
      <c r="L56" s="26"/>
      <c r="M56" s="26"/>
    </row>
    <row r="57" spans="1:14" x14ac:dyDescent="0.25">
      <c r="A57" s="29"/>
      <c r="B57" s="39" t="s">
        <v>54</v>
      </c>
      <c r="C57" s="344" t="s">
        <v>248</v>
      </c>
      <c r="D57" s="344"/>
      <c r="E57" s="344"/>
      <c r="F57" s="26"/>
      <c r="G57" s="26"/>
      <c r="H57" s="26"/>
      <c r="I57" s="26"/>
      <c r="J57" s="26"/>
      <c r="K57" s="12"/>
      <c r="L57" s="26"/>
      <c r="M57" s="26"/>
    </row>
    <row r="58" spans="1:14" x14ac:dyDescent="0.25">
      <c r="A58" s="34"/>
      <c r="B58" s="39" t="s">
        <v>55</v>
      </c>
      <c r="C58" s="344" t="s">
        <v>56</v>
      </c>
      <c r="D58" s="344"/>
      <c r="E58" s="344"/>
      <c r="F58" s="26"/>
      <c r="G58" s="26"/>
      <c r="H58" s="26"/>
      <c r="I58" s="26"/>
      <c r="J58" s="26"/>
      <c r="K58" s="40"/>
      <c r="L58" s="26"/>
      <c r="M58" s="26"/>
    </row>
    <row r="59" spans="1:14" x14ac:dyDescent="0.25">
      <c r="A59" s="34"/>
      <c r="B59" s="345" t="s">
        <v>273</v>
      </c>
      <c r="C59" s="346"/>
      <c r="D59" s="346"/>
      <c r="E59" s="347"/>
      <c r="F59" s="26"/>
      <c r="G59" s="26"/>
      <c r="H59" s="26"/>
      <c r="I59" s="26"/>
      <c r="J59" s="26"/>
      <c r="K59" s="40"/>
      <c r="L59" s="26"/>
      <c r="M59" s="26"/>
    </row>
    <row r="60" spans="1:14" s="76" customFormat="1" x14ac:dyDescent="0.2">
      <c r="A60" s="41" t="s">
        <v>57</v>
      </c>
      <c r="B60" s="384" t="s">
        <v>58</v>
      </c>
      <c r="C60" s="384"/>
      <c r="D60" s="384"/>
      <c r="E60" s="384"/>
    </row>
    <row r="61" spans="1:14" x14ac:dyDescent="0.25">
      <c r="A61" s="43"/>
      <c r="B61" s="44"/>
      <c r="C61" s="45"/>
      <c r="D61" s="46"/>
      <c r="E61" s="47"/>
      <c r="F61" s="40"/>
      <c r="G61" s="40"/>
      <c r="H61" s="40"/>
      <c r="I61" s="40"/>
      <c r="J61" s="40"/>
      <c r="K61" s="40"/>
      <c r="L61" s="40"/>
      <c r="M61" s="26"/>
      <c r="N61" s="26"/>
    </row>
    <row r="62" spans="1:14" x14ac:dyDescent="0.25">
      <c r="A62" s="48"/>
      <c r="B62" s="49"/>
      <c r="C62" s="50"/>
      <c r="D62" s="50"/>
      <c r="E62" s="50"/>
      <c r="F62" s="50"/>
      <c r="G62" s="12"/>
      <c r="H62" s="12"/>
      <c r="I62" s="12"/>
      <c r="J62" s="12"/>
      <c r="K62" s="12"/>
      <c r="L62" s="12"/>
      <c r="M62" s="26"/>
      <c r="N62" s="26"/>
    </row>
    <row r="63" spans="1:14" x14ac:dyDescent="0.25">
      <c r="A63" s="13">
        <v>11</v>
      </c>
      <c r="B63" s="5" t="s">
        <v>59</v>
      </c>
      <c r="C63" s="349" t="s">
        <v>60</v>
      </c>
      <c r="D63" s="349"/>
      <c r="E63" s="349"/>
      <c r="F63" s="15"/>
      <c r="G63" s="15"/>
      <c r="H63" s="51"/>
      <c r="I63" s="15"/>
      <c r="J63" s="15"/>
      <c r="K63" s="26"/>
      <c r="L63" s="12"/>
      <c r="M63" s="26"/>
      <c r="N63" s="26"/>
    </row>
    <row r="64" spans="1:14" x14ac:dyDescent="0.25">
      <c r="A64" s="13"/>
      <c r="B64" s="19"/>
      <c r="C64" s="19"/>
      <c r="D64" s="19"/>
      <c r="E64" s="19"/>
      <c r="F64" s="19"/>
      <c r="G64" s="19"/>
      <c r="H64" s="52"/>
      <c r="I64" s="52"/>
      <c r="J64" s="19"/>
      <c r="K64" s="26"/>
      <c r="L64" s="26"/>
      <c r="M64" s="26"/>
      <c r="N64" s="26"/>
    </row>
    <row r="65" spans="1:14" x14ac:dyDescent="0.25">
      <c r="A65" s="13">
        <v>12</v>
      </c>
      <c r="B65" s="15" t="s">
        <v>61</v>
      </c>
      <c r="C65" s="15"/>
      <c r="D65" s="15"/>
      <c r="E65" s="15"/>
      <c r="F65" s="15"/>
      <c r="G65" s="15"/>
      <c r="H65" s="15"/>
      <c r="I65" s="15"/>
      <c r="J65" s="15"/>
      <c r="K65" s="15"/>
      <c r="L65" s="15"/>
      <c r="M65" s="15"/>
      <c r="N65" s="15"/>
    </row>
    <row r="66" spans="1:14" x14ac:dyDescent="0.25">
      <c r="A66" s="13"/>
      <c r="B66" s="15"/>
      <c r="C66" s="15"/>
      <c r="D66" s="15"/>
      <c r="E66" s="15"/>
      <c r="F66" s="15"/>
      <c r="G66" s="15"/>
      <c r="H66" s="15"/>
      <c r="I66" s="15"/>
      <c r="J66" s="15"/>
      <c r="K66" s="15"/>
      <c r="L66" s="15"/>
      <c r="M66" s="15"/>
      <c r="N66" s="15"/>
    </row>
    <row r="67" spans="1:14" x14ac:dyDescent="0.25">
      <c r="A67" s="13"/>
      <c r="B67" s="21" t="s">
        <v>62</v>
      </c>
      <c r="C67" s="23" t="s">
        <v>274</v>
      </c>
      <c r="D67" s="19"/>
      <c r="E67" s="19"/>
      <c r="F67" s="52"/>
      <c r="G67" s="52"/>
      <c r="H67" s="19"/>
      <c r="I67" s="19"/>
      <c r="J67" s="19"/>
      <c r="K67" s="19"/>
      <c r="L67" s="19"/>
      <c r="M67" s="19"/>
      <c r="N67" s="19"/>
    </row>
    <row r="68" spans="1:14" x14ac:dyDescent="0.25">
      <c r="A68" s="13"/>
      <c r="B68" s="19"/>
      <c r="C68" s="19"/>
      <c r="D68" s="19"/>
      <c r="E68" s="19"/>
      <c r="F68" s="19"/>
      <c r="G68" s="19"/>
      <c r="H68" s="19"/>
      <c r="I68" s="19"/>
      <c r="J68" s="19"/>
      <c r="K68" s="19"/>
      <c r="L68" s="19"/>
      <c r="M68" s="19"/>
      <c r="N68" s="19"/>
    </row>
    <row r="69" spans="1:14" x14ac:dyDescent="0.25">
      <c r="A69" s="13"/>
      <c r="B69" s="333" t="s">
        <v>64</v>
      </c>
      <c r="C69" s="372" t="s">
        <v>275</v>
      </c>
      <c r="D69" s="372" t="s">
        <v>276</v>
      </c>
      <c r="E69" s="336" t="s">
        <v>277</v>
      </c>
      <c r="F69" s="327" t="s">
        <v>68</v>
      </c>
      <c r="G69" s="328"/>
      <c r="H69" s="329"/>
      <c r="I69" s="330" t="s">
        <v>69</v>
      </c>
      <c r="J69" s="330"/>
      <c r="K69" s="330"/>
      <c r="L69" s="330" t="s">
        <v>70</v>
      </c>
      <c r="M69" s="330"/>
      <c r="N69" s="330"/>
    </row>
    <row r="70" spans="1:14" ht="38.25" x14ac:dyDescent="0.25">
      <c r="A70" s="4"/>
      <c r="B70" s="333"/>
      <c r="C70" s="335"/>
      <c r="D70" s="335"/>
      <c r="E70" s="337"/>
      <c r="F70" s="21" t="s">
        <v>71</v>
      </c>
      <c r="G70" s="21" t="s">
        <v>72</v>
      </c>
      <c r="H70" s="21" t="s">
        <v>73</v>
      </c>
      <c r="I70" s="21" t="s">
        <v>74</v>
      </c>
      <c r="J70" s="21" t="s">
        <v>72</v>
      </c>
      <c r="K70" s="21" t="s">
        <v>73</v>
      </c>
      <c r="L70" s="21" t="s">
        <v>74</v>
      </c>
      <c r="M70" s="21" t="s">
        <v>72</v>
      </c>
      <c r="N70" s="21" t="s">
        <v>73</v>
      </c>
    </row>
    <row r="71" spans="1:14" x14ac:dyDescent="0.25">
      <c r="A71" s="4"/>
      <c r="B71" s="21" t="s">
        <v>75</v>
      </c>
      <c r="C71" s="54">
        <v>40.049999999999997</v>
      </c>
      <c r="D71" s="54">
        <v>40.5</v>
      </c>
      <c r="E71" s="54">
        <v>56.4</v>
      </c>
      <c r="F71" s="54">
        <v>120</v>
      </c>
      <c r="G71" s="54">
        <v>165</v>
      </c>
      <c r="H71" s="54">
        <v>37.5</v>
      </c>
      <c r="I71" s="53">
        <v>108.5</v>
      </c>
      <c r="J71" s="53">
        <v>165.5</v>
      </c>
      <c r="K71" s="53">
        <v>101</v>
      </c>
      <c r="L71" s="53">
        <v>100</v>
      </c>
      <c r="M71" s="53">
        <v>145</v>
      </c>
      <c r="N71" s="53">
        <v>87.5</v>
      </c>
    </row>
    <row r="72" spans="1:14" ht="25.5" x14ac:dyDescent="0.25">
      <c r="A72" s="4"/>
      <c r="B72" s="21" t="s">
        <v>278</v>
      </c>
      <c r="C72" s="53">
        <v>25626.75</v>
      </c>
      <c r="D72" s="53">
        <v>25489.57</v>
      </c>
      <c r="E72" s="53">
        <v>27808.14</v>
      </c>
      <c r="F72" s="54">
        <v>29648.99</v>
      </c>
      <c r="G72" s="54">
        <v>28661.58</v>
      </c>
      <c r="H72" s="54">
        <v>26064.12</v>
      </c>
      <c r="I72" s="54">
        <v>32968.68</v>
      </c>
      <c r="J72" s="54">
        <v>36443.980000000003</v>
      </c>
      <c r="K72" s="141">
        <v>29241.48</v>
      </c>
      <c r="L72" s="53">
        <v>38672.910000000003</v>
      </c>
      <c r="M72" s="53">
        <v>38989.65</v>
      </c>
      <c r="N72" s="53">
        <v>32972.559999999998</v>
      </c>
    </row>
    <row r="73" spans="1:14" x14ac:dyDescent="0.25">
      <c r="A73" s="4"/>
      <c r="B73" s="331" t="s">
        <v>279</v>
      </c>
      <c r="C73" s="390"/>
      <c r="D73" s="390"/>
      <c r="E73" s="390"/>
      <c r="F73" s="331"/>
      <c r="G73" s="331"/>
      <c r="H73" s="331"/>
      <c r="I73" s="331"/>
      <c r="J73" s="331"/>
      <c r="K73" s="331"/>
      <c r="L73" s="331"/>
      <c r="M73" s="331"/>
      <c r="N73" s="331"/>
    </row>
    <row r="74" spans="1:14" ht="13.5" x14ac:dyDescent="0.25">
      <c r="A74" s="4"/>
      <c r="B74" s="383" t="s">
        <v>21</v>
      </c>
      <c r="C74" s="383"/>
      <c r="D74" s="383"/>
      <c r="E74" s="383"/>
      <c r="F74" s="383"/>
      <c r="G74" s="383"/>
      <c r="H74" s="383"/>
      <c r="I74" s="383"/>
      <c r="J74" s="383"/>
      <c r="K74" s="383"/>
      <c r="L74" s="383"/>
      <c r="M74" s="383"/>
      <c r="N74" s="383"/>
    </row>
    <row r="75" spans="1:14" x14ac:dyDescent="0.25">
      <c r="A75" s="4"/>
      <c r="B75" s="382" t="s">
        <v>79</v>
      </c>
      <c r="C75" s="382"/>
      <c r="D75" s="382"/>
      <c r="E75" s="382"/>
      <c r="F75" s="382"/>
      <c r="G75" s="382"/>
      <c r="H75" s="382"/>
      <c r="I75" s="382"/>
      <c r="J75" s="382"/>
      <c r="K75" s="382"/>
      <c r="L75" s="382"/>
      <c r="M75" s="382"/>
      <c r="N75" s="382"/>
    </row>
    <row r="76" spans="1:14" s="57" customFormat="1" x14ac:dyDescent="0.25">
      <c r="B76" s="382" t="s">
        <v>80</v>
      </c>
      <c r="C76" s="382"/>
      <c r="D76" s="382"/>
      <c r="E76" s="382"/>
      <c r="F76" s="382"/>
      <c r="G76" s="382"/>
      <c r="H76" s="382"/>
      <c r="I76" s="382"/>
      <c r="J76" s="382"/>
      <c r="K76" s="382"/>
      <c r="L76" s="382"/>
      <c r="M76" s="382"/>
      <c r="N76" s="382"/>
    </row>
    <row r="77" spans="1:14" x14ac:dyDescent="0.25">
      <c r="A77" s="4"/>
      <c r="B77" s="382" t="s">
        <v>117</v>
      </c>
      <c r="C77" s="382"/>
      <c r="D77" s="382"/>
      <c r="E77" s="382"/>
      <c r="F77" s="382"/>
      <c r="G77" s="382"/>
      <c r="H77" s="382"/>
      <c r="I77" s="382"/>
      <c r="J77" s="382"/>
      <c r="K77" s="382"/>
      <c r="L77" s="382"/>
      <c r="M77" s="382"/>
      <c r="N77" s="382"/>
    </row>
    <row r="78" spans="1:14" x14ac:dyDescent="0.25">
      <c r="A78" s="4"/>
      <c r="B78" s="382" t="s">
        <v>82</v>
      </c>
      <c r="C78" s="382"/>
      <c r="D78" s="382"/>
      <c r="E78" s="382"/>
      <c r="F78" s="382"/>
      <c r="G78" s="382"/>
      <c r="H78" s="382"/>
      <c r="I78" s="382"/>
      <c r="J78" s="382"/>
      <c r="K78" s="382"/>
      <c r="L78" s="382"/>
      <c r="M78" s="382"/>
      <c r="N78" s="382"/>
    </row>
    <row r="79" spans="1:14" x14ac:dyDescent="0.25">
      <c r="A79" s="4"/>
      <c r="B79" s="58"/>
      <c r="C79" s="58"/>
      <c r="D79" s="58"/>
      <c r="E79" s="58"/>
      <c r="F79" s="58"/>
      <c r="G79" s="17"/>
      <c r="H79" s="17"/>
      <c r="I79" s="17"/>
      <c r="J79" s="17"/>
      <c r="K79" s="17"/>
      <c r="L79" s="17"/>
      <c r="M79" s="17"/>
      <c r="N79" s="17"/>
    </row>
    <row r="80" spans="1:14" x14ac:dyDescent="0.25">
      <c r="A80" s="13">
        <v>13</v>
      </c>
      <c r="B80" s="338" t="s">
        <v>83</v>
      </c>
      <c r="C80" s="339"/>
      <c r="D80" s="339"/>
      <c r="E80" s="339"/>
      <c r="F80" s="339"/>
      <c r="G80" s="340"/>
      <c r="H80" s="15"/>
      <c r="I80" s="15"/>
      <c r="J80" s="15"/>
      <c r="K80" s="15"/>
      <c r="L80" s="15"/>
      <c r="M80" s="15"/>
      <c r="N80" s="15"/>
    </row>
    <row r="81" spans="1:14" x14ac:dyDescent="0.25">
      <c r="A81" s="13"/>
      <c r="B81" s="26"/>
      <c r="C81" s="19"/>
      <c r="D81" s="19"/>
      <c r="E81" s="19"/>
      <c r="F81" s="19"/>
      <c r="G81" s="19"/>
      <c r="H81" s="19"/>
      <c r="I81" s="19"/>
      <c r="J81" s="19"/>
      <c r="K81" s="19"/>
      <c r="L81" s="19"/>
      <c r="M81" s="19"/>
      <c r="N81" s="19"/>
    </row>
    <row r="82" spans="1:14" ht="102" x14ac:dyDescent="0.25">
      <c r="A82" s="4"/>
      <c r="B82" s="59" t="s">
        <v>84</v>
      </c>
      <c r="C82" s="22" t="s">
        <v>85</v>
      </c>
      <c r="D82" s="22" t="s">
        <v>86</v>
      </c>
      <c r="E82" s="22" t="s">
        <v>280</v>
      </c>
      <c r="F82" s="22" t="s">
        <v>88</v>
      </c>
      <c r="G82" s="22" t="s">
        <v>169</v>
      </c>
      <c r="H82" s="17"/>
      <c r="I82" s="17"/>
      <c r="J82" s="17"/>
      <c r="K82" s="17"/>
      <c r="L82" s="17"/>
      <c r="M82" s="17"/>
      <c r="N82" s="17"/>
    </row>
    <row r="83" spans="1:14" ht="12.75" customHeight="1" x14ac:dyDescent="0.2">
      <c r="A83" s="4"/>
      <c r="B83" s="316" t="s">
        <v>90</v>
      </c>
      <c r="C83" s="5" t="s">
        <v>281</v>
      </c>
      <c r="D83" s="91">
        <v>1.74</v>
      </c>
      <c r="E83" s="80">
        <v>3.57</v>
      </c>
      <c r="F83" s="80">
        <v>8.18</v>
      </c>
      <c r="G83" s="153">
        <v>7.99</v>
      </c>
      <c r="I83" s="62"/>
      <c r="J83" s="62"/>
      <c r="K83" s="62"/>
      <c r="L83" s="62"/>
      <c r="M83" s="62"/>
      <c r="N83" s="62"/>
    </row>
    <row r="84" spans="1:14" x14ac:dyDescent="0.25">
      <c r="A84" s="4"/>
      <c r="B84" s="316"/>
      <c r="C84" s="5" t="s">
        <v>171</v>
      </c>
      <c r="D84" s="92" t="s">
        <v>126</v>
      </c>
      <c r="E84" s="92" t="s">
        <v>126</v>
      </c>
      <c r="F84" s="92"/>
      <c r="G84" s="153"/>
      <c r="I84" s="62"/>
      <c r="J84" s="62"/>
      <c r="K84" s="62"/>
      <c r="L84" s="62"/>
      <c r="M84" s="62"/>
      <c r="N84" s="62"/>
    </row>
    <row r="85" spans="1:14" x14ac:dyDescent="0.25">
      <c r="A85" s="4"/>
      <c r="B85" s="316"/>
      <c r="C85" s="5" t="s">
        <v>93</v>
      </c>
      <c r="D85" s="92" t="s">
        <v>126</v>
      </c>
      <c r="E85" s="92" t="s">
        <v>126</v>
      </c>
      <c r="F85" s="92"/>
      <c r="G85" s="153"/>
      <c r="I85" s="62"/>
      <c r="J85" s="62"/>
      <c r="K85" s="62"/>
      <c r="L85" s="62"/>
      <c r="M85" s="62"/>
      <c r="N85" s="62"/>
    </row>
    <row r="86" spans="1:14" x14ac:dyDescent="0.2">
      <c r="A86" s="4"/>
      <c r="B86" s="316" t="s">
        <v>94</v>
      </c>
      <c r="C86" s="5" t="s">
        <v>281</v>
      </c>
      <c r="D86" s="93">
        <v>11.32</v>
      </c>
      <c r="E86" s="80">
        <v>33.61</v>
      </c>
      <c r="F86" s="85">
        <f>77.47/8.18</f>
        <v>9.4706601466992666</v>
      </c>
      <c r="G86" s="153">
        <v>12.51</v>
      </c>
      <c r="I86" s="62"/>
      <c r="J86" s="62"/>
      <c r="K86" s="62"/>
      <c r="L86" s="62"/>
      <c r="M86" s="62"/>
      <c r="N86" s="62"/>
    </row>
    <row r="87" spans="1:14" x14ac:dyDescent="0.25">
      <c r="A87" s="4"/>
      <c r="B87" s="316"/>
      <c r="C87" s="5" t="s">
        <v>171</v>
      </c>
      <c r="D87" s="92" t="s">
        <v>126</v>
      </c>
      <c r="E87" s="92" t="s">
        <v>126</v>
      </c>
      <c r="F87" s="92"/>
      <c r="G87" s="153"/>
      <c r="I87" s="62"/>
      <c r="J87" s="62"/>
      <c r="K87" s="62"/>
      <c r="L87" s="62"/>
      <c r="M87" s="62"/>
      <c r="N87" s="62"/>
    </row>
    <row r="88" spans="1:14" x14ac:dyDescent="0.25">
      <c r="A88" s="4"/>
      <c r="B88" s="316"/>
      <c r="C88" s="5" t="s">
        <v>93</v>
      </c>
      <c r="D88" s="92" t="s">
        <v>126</v>
      </c>
      <c r="E88" s="92" t="s">
        <v>126</v>
      </c>
      <c r="F88" s="92"/>
      <c r="G88" s="153"/>
      <c r="I88" s="62"/>
      <c r="J88" s="62"/>
      <c r="K88" s="62"/>
      <c r="L88" s="62"/>
      <c r="M88" s="62"/>
      <c r="N88" s="62"/>
    </row>
    <row r="89" spans="1:14" x14ac:dyDescent="0.2">
      <c r="A89" s="4"/>
      <c r="B89" s="316" t="s">
        <v>95</v>
      </c>
      <c r="C89" s="5" t="s">
        <v>281</v>
      </c>
      <c r="D89" s="91">
        <v>11.32</v>
      </c>
      <c r="E89" s="108">
        <v>0.13700000000000001</v>
      </c>
      <c r="F89" s="86">
        <f>586.98/2438.73</f>
        <v>0.24069085138576227</v>
      </c>
      <c r="G89" s="156">
        <v>0.24759999999999999</v>
      </c>
      <c r="I89" s="62"/>
      <c r="J89" s="62"/>
      <c r="K89" s="62"/>
      <c r="L89" s="62"/>
      <c r="M89" s="62"/>
      <c r="N89" s="62"/>
    </row>
    <row r="90" spans="1:14" x14ac:dyDescent="0.25">
      <c r="A90" s="4"/>
      <c r="B90" s="316"/>
      <c r="C90" s="5" t="s">
        <v>171</v>
      </c>
      <c r="D90" s="92" t="s">
        <v>126</v>
      </c>
      <c r="E90" s="92" t="s">
        <v>126</v>
      </c>
      <c r="F90" s="92"/>
      <c r="G90" s="153"/>
      <c r="I90" s="62"/>
      <c r="J90" s="62"/>
      <c r="K90" s="62"/>
      <c r="L90" s="62"/>
      <c r="M90" s="62"/>
      <c r="N90" s="62"/>
    </row>
    <row r="91" spans="1:14" x14ac:dyDescent="0.25">
      <c r="A91" s="4"/>
      <c r="B91" s="316"/>
      <c r="C91" s="5" t="s">
        <v>93</v>
      </c>
      <c r="D91" s="92" t="s">
        <v>126</v>
      </c>
      <c r="E91" s="92" t="s">
        <v>126</v>
      </c>
      <c r="F91" s="92"/>
      <c r="G91" s="153"/>
      <c r="I91" s="62"/>
      <c r="J91" s="62"/>
      <c r="K91" s="66"/>
      <c r="L91" s="62"/>
      <c r="M91" s="62"/>
      <c r="N91" s="62"/>
    </row>
    <row r="92" spans="1:14" x14ac:dyDescent="0.2">
      <c r="A92" s="4"/>
      <c r="B92" s="316" t="s">
        <v>96</v>
      </c>
      <c r="C92" s="5" t="s">
        <v>281</v>
      </c>
      <c r="D92" s="91">
        <v>25.72</v>
      </c>
      <c r="E92" s="80">
        <v>25.79</v>
      </c>
      <c r="F92" s="85">
        <f>2438.73/71.795</f>
        <v>33.967964342920816</v>
      </c>
      <c r="G92" s="153">
        <v>32.25</v>
      </c>
      <c r="I92" s="62"/>
      <c r="J92" s="62"/>
      <c r="K92" s="62"/>
      <c r="L92" s="62"/>
      <c r="M92" s="62"/>
      <c r="N92" s="62"/>
    </row>
    <row r="93" spans="1:14" x14ac:dyDescent="0.25">
      <c r="A93" s="4"/>
      <c r="B93" s="316"/>
      <c r="C93" s="5" t="s">
        <v>171</v>
      </c>
      <c r="D93" s="92" t="s">
        <v>126</v>
      </c>
      <c r="E93" s="92" t="s">
        <v>126</v>
      </c>
      <c r="F93" s="92"/>
      <c r="G93" s="153"/>
      <c r="I93" s="62"/>
      <c r="J93" s="62"/>
      <c r="K93" s="62"/>
      <c r="L93" s="62"/>
      <c r="M93" s="62"/>
      <c r="N93" s="62"/>
    </row>
    <row r="94" spans="1:14" x14ac:dyDescent="0.25">
      <c r="A94" s="4"/>
      <c r="B94" s="386"/>
      <c r="C94" s="5" t="s">
        <v>93</v>
      </c>
      <c r="D94" s="92" t="s">
        <v>126</v>
      </c>
      <c r="E94" s="92" t="s">
        <v>126</v>
      </c>
      <c r="F94" s="92"/>
      <c r="G94" s="153"/>
      <c r="I94" s="62"/>
      <c r="J94" s="62"/>
      <c r="K94" s="62"/>
      <c r="L94" s="62"/>
      <c r="M94" s="62"/>
      <c r="N94" s="62"/>
    </row>
    <row r="95" spans="1:14" s="57" customFormat="1" x14ac:dyDescent="0.25">
      <c r="B95" s="387" t="s">
        <v>172</v>
      </c>
      <c r="C95" s="388"/>
      <c r="D95" s="388"/>
      <c r="E95" s="388"/>
      <c r="F95" s="388"/>
      <c r="G95" s="389"/>
    </row>
    <row r="96" spans="1:14" x14ac:dyDescent="0.25">
      <c r="A96" s="4"/>
      <c r="B96" s="376" t="s">
        <v>283</v>
      </c>
      <c r="C96" s="377"/>
      <c r="D96" s="377"/>
      <c r="E96" s="377"/>
      <c r="F96" s="377"/>
      <c r="G96" s="378"/>
      <c r="H96" s="62"/>
      <c r="I96" s="62"/>
      <c r="J96" s="62"/>
      <c r="K96" s="62"/>
      <c r="L96" s="62"/>
      <c r="M96" s="62"/>
      <c r="N96" s="62"/>
    </row>
    <row r="97" spans="1:14" x14ac:dyDescent="0.25">
      <c r="A97" s="4"/>
      <c r="B97" s="379" t="s">
        <v>128</v>
      </c>
      <c r="C97" s="380"/>
      <c r="D97" s="380"/>
      <c r="E97" s="380"/>
      <c r="F97" s="380"/>
      <c r="G97" s="381"/>
      <c r="H97" s="62"/>
      <c r="I97" s="62"/>
      <c r="J97" s="62"/>
      <c r="K97" s="62"/>
      <c r="L97" s="62"/>
      <c r="M97" s="62"/>
      <c r="N97" s="62"/>
    </row>
    <row r="98" spans="1:14" x14ac:dyDescent="0.25">
      <c r="A98" s="4"/>
      <c r="B98" s="353"/>
      <c r="C98" s="354"/>
      <c r="D98" s="354"/>
      <c r="E98" s="354"/>
      <c r="F98" s="354"/>
      <c r="G98" s="355"/>
      <c r="H98" s="62"/>
      <c r="I98" s="62"/>
      <c r="J98" s="62"/>
      <c r="K98" s="62"/>
      <c r="L98" s="62"/>
      <c r="M98" s="62"/>
      <c r="N98" s="62"/>
    </row>
    <row r="99" spans="1:14" x14ac:dyDescent="0.25">
      <c r="A99" s="26"/>
      <c r="B99" s="12"/>
      <c r="C99" s="323"/>
      <c r="D99" s="323"/>
      <c r="E99" s="323"/>
      <c r="F99" s="323"/>
      <c r="G99" s="323"/>
      <c r="H99" s="62"/>
      <c r="I99" s="62"/>
      <c r="J99" s="26"/>
      <c r="K99" s="26"/>
      <c r="L99" s="26"/>
      <c r="M99" s="26"/>
      <c r="N99" s="26"/>
    </row>
    <row r="100" spans="1:14" x14ac:dyDescent="0.25">
      <c r="A100" s="13">
        <v>14</v>
      </c>
      <c r="B100" s="70" t="s">
        <v>99</v>
      </c>
      <c r="C100" s="324" t="s">
        <v>284</v>
      </c>
      <c r="D100" s="325"/>
      <c r="E100" s="325"/>
      <c r="F100" s="325"/>
      <c r="G100" s="326"/>
      <c r="H100" s="26"/>
      <c r="I100" s="26"/>
      <c r="J100" s="26"/>
      <c r="K100" s="26"/>
      <c r="L100" s="26"/>
      <c r="M100" s="26"/>
      <c r="N100" s="26"/>
    </row>
    <row r="101" spans="1:14" x14ac:dyDescent="0.25">
      <c r="A101" s="71"/>
      <c r="B101" s="26"/>
      <c r="C101" s="84"/>
      <c r="D101" s="84"/>
      <c r="E101" s="84"/>
      <c r="F101" s="84"/>
      <c r="G101" s="84"/>
      <c r="H101" s="26"/>
      <c r="I101" s="26"/>
      <c r="J101" s="26"/>
      <c r="K101" s="26"/>
      <c r="L101" s="26"/>
      <c r="M101" s="26"/>
      <c r="N101" s="26"/>
    </row>
    <row r="102" spans="1:14" x14ac:dyDescent="0.25">
      <c r="A102" s="26"/>
      <c r="B102" s="374" t="s">
        <v>285</v>
      </c>
      <c r="C102" s="375"/>
      <c r="D102" s="375"/>
      <c r="E102" s="375"/>
      <c r="F102" s="375"/>
      <c r="G102" s="375"/>
      <c r="H102" s="375"/>
      <c r="I102" s="26"/>
      <c r="J102" s="26"/>
      <c r="K102" s="26"/>
      <c r="L102" s="26"/>
      <c r="M102" s="26"/>
      <c r="N102" s="26"/>
    </row>
    <row r="103" spans="1:14" x14ac:dyDescent="0.25">
      <c r="A103" s="26"/>
      <c r="I103" s="26"/>
      <c r="J103" s="26"/>
      <c r="K103" s="26"/>
      <c r="L103" s="26"/>
      <c r="M103" s="26"/>
      <c r="N103" s="26"/>
    </row>
    <row r="104" spans="1:14" x14ac:dyDescent="0.25">
      <c r="A104" s="26"/>
      <c r="J104" s="26"/>
      <c r="K104" s="26"/>
      <c r="L104" s="26"/>
      <c r="M104" s="26"/>
      <c r="N104" s="26"/>
    </row>
  </sheetData>
  <sheetProtection password="E9DF" sheet="1" objects="1" scenarios="1"/>
  <mergeCells count="60">
    <mergeCell ref="B12:D12"/>
    <mergeCell ref="A1:B1"/>
    <mergeCell ref="C5:E5"/>
    <mergeCell ref="B6:D6"/>
    <mergeCell ref="B9:D9"/>
    <mergeCell ref="C11:E11"/>
    <mergeCell ref="B33:E33"/>
    <mergeCell ref="B15:C15"/>
    <mergeCell ref="B17:E17"/>
    <mergeCell ref="C18:E18"/>
    <mergeCell ref="C19:E19"/>
    <mergeCell ref="C20:E20"/>
    <mergeCell ref="C21:E21"/>
    <mergeCell ref="C22:E22"/>
    <mergeCell ref="B23:E23"/>
    <mergeCell ref="B26:E26"/>
    <mergeCell ref="B27:E27"/>
    <mergeCell ref="B55:B56"/>
    <mergeCell ref="C55:E56"/>
    <mergeCell ref="B35:E35"/>
    <mergeCell ref="B39:C39"/>
    <mergeCell ref="B42:E42"/>
    <mergeCell ref="C43:E43"/>
    <mergeCell ref="C44:E44"/>
    <mergeCell ref="C45:E45"/>
    <mergeCell ref="B46:E46"/>
    <mergeCell ref="B48:E48"/>
    <mergeCell ref="B51:E51"/>
    <mergeCell ref="B52:E52"/>
    <mergeCell ref="B54:E54"/>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76:N76"/>
    <mergeCell ref="B77:N77"/>
    <mergeCell ref="B78:N78"/>
    <mergeCell ref="B80:G80"/>
    <mergeCell ref="B83:B85"/>
    <mergeCell ref="B86:B88"/>
    <mergeCell ref="B89:B91"/>
    <mergeCell ref="B92:B94"/>
    <mergeCell ref="B102:H102"/>
    <mergeCell ref="B95:G95"/>
    <mergeCell ref="B96:G96"/>
    <mergeCell ref="B97:G97"/>
    <mergeCell ref="B98:G98"/>
    <mergeCell ref="C99:G99"/>
    <mergeCell ref="C100:G10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OP CHAINS</vt:lpstr>
      <vt:lpstr>JUNCTION</vt:lpstr>
      <vt:lpstr>LOYAL</vt:lpstr>
      <vt:lpstr>EMKAY</vt:lpstr>
      <vt:lpstr>UNIVERSAL AUTOFOUNDRY</vt:lpstr>
      <vt:lpstr>BELLA CASA</vt:lpstr>
      <vt:lpstr>VISHAL BEARING</vt:lpstr>
      <vt:lpstr>ARAMBHAN</vt:lpstr>
      <vt:lpstr>RAGHAV</vt:lpstr>
      <vt:lpstr>MBAPL</vt:lpstr>
      <vt:lpstr>ADL</vt:lpstr>
      <vt:lpstr>PDL</vt:lpstr>
      <vt:lpstr>GICL</vt:lpstr>
      <vt:lpstr>DHANUKA</vt:lpstr>
      <vt:lpstr>ART NIRMAN</vt:lpstr>
      <vt:lpstr>KPL</vt:lpstr>
      <vt:lpstr>RMC</vt:lpstr>
      <vt:lpstr>GLOBAL EDUCATION</vt:lpstr>
      <vt:lpstr>LAXMI COTSPIN</vt:lpstr>
      <vt:lpstr>Dev IT</vt:lpstr>
      <vt:lpstr>VSCL</vt:lpstr>
      <vt:lpstr>GLOBE TEXTILE</vt:lpstr>
      <vt:lpstr>ACCORD SYNERGY</vt:lpstr>
      <vt:lpstr>CTL</vt:lpstr>
      <vt:lpstr>SHANTI OVERSEAS</vt:lpstr>
      <vt:lpstr>SUREVIN</vt:lpstr>
      <vt:lpstr>PASHUPATI</vt:lpstr>
      <vt:lpstr>SHARE INDIA</vt:lpstr>
      <vt:lpstr>RKEC</vt:lpstr>
      <vt:lpstr>D.P. ABHUSHAN</vt:lpstr>
      <vt:lpstr>ANI INTEGRATED</vt:lpstr>
      <vt:lpstr>DYNAMIC CABLES</vt:lpstr>
      <vt:lpstr>VASA RETAIL</vt:lpstr>
      <vt:lpstr>HINDCON</vt:lpstr>
      <vt:lpstr>TARACHAND</vt:lpstr>
      <vt:lpstr>DHRUV</vt:lpstr>
      <vt:lpstr>SONAM</vt:lpstr>
      <vt:lpstr>PARIN</vt:lpstr>
      <vt:lpstr>KRITIKA</vt:lpstr>
      <vt:lpstr>MINDPOOL</vt:lpstr>
      <vt:lpstr>VR Films</vt:lpstr>
      <vt:lpstr>Evans</vt:lpstr>
      <vt:lpstr>Earum</vt:lpstr>
      <vt:lpstr>Gian Life Care</vt:lpstr>
      <vt:lpstr>Hind Prakash</vt:lpstr>
      <vt:lpstr>SM Auto</vt:lpstr>
      <vt:lpstr>Suratwala</vt:lpstr>
      <vt:lpstr>KMEW</vt:lpstr>
      <vt:lpstr>EKI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2021-07-15T11:12:06Z</dcterms:modified>
</cp:coreProperties>
</file>