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xr:revisionPtr revIDLastSave="0" documentId="8_{8154CEBB-1485-44D3-A873-C9DB12BD5F99}" xr6:coauthVersionLast="47" xr6:coauthVersionMax="47" xr10:uidLastSave="{00000000-0000-0000-0000-000000000000}"/>
  <bookViews>
    <workbookView xWindow="-106" yWindow="-106" windowWidth="17174" windowHeight="9029" tabRatio="878" firstSheet="60" activeTab="60" xr2:uid="{00000000-000D-0000-FFFF-FFFF00000000}"/>
  </bookViews>
  <sheets>
    <sheet name="EMKAY" sheetId="4" r:id="rId1"/>
    <sheet name="UNIVERSAL AUTOFOUNDRY" sheetId="5" r:id="rId2"/>
    <sheet name="BELLA CASA" sheetId="6" r:id="rId3"/>
    <sheet name="VISHAL BEARING" sheetId="7" r:id="rId4"/>
    <sheet name="ARAMBHAN" sheetId="8" r:id="rId5"/>
    <sheet name="RAGHAV" sheetId="9" r:id="rId6"/>
    <sheet name="MBAPL" sheetId="10" r:id="rId7"/>
    <sheet name="ADL" sheetId="11" r:id="rId8"/>
    <sheet name="PDL" sheetId="12" r:id="rId9"/>
    <sheet name="GICL" sheetId="13" r:id="rId10"/>
    <sheet name="DHANUKA" sheetId="14" r:id="rId11"/>
    <sheet name="ART NIRMAN" sheetId="15" r:id="rId12"/>
    <sheet name="KPL" sheetId="88" r:id="rId13"/>
    <sheet name="RMC" sheetId="17" r:id="rId14"/>
    <sheet name="GLOBAL EDUCATION" sheetId="18" r:id="rId15"/>
    <sheet name="LAXMI COTSPIN" sheetId="19" r:id="rId16"/>
    <sheet name="Dev IT" sheetId="52" r:id="rId17"/>
    <sheet name="VSCL" sheetId="21" r:id="rId18"/>
    <sheet name="GLOBE TEXTILE" sheetId="22" r:id="rId19"/>
    <sheet name="ACCORD SYNERGY" sheetId="23" r:id="rId20"/>
    <sheet name="CTL" sheetId="24" r:id="rId21"/>
    <sheet name="SHANTI OVERSEAS" sheetId="25" r:id="rId22"/>
    <sheet name="SUREVIN" sheetId="26" r:id="rId23"/>
    <sheet name="PASHUPATI" sheetId="27" r:id="rId24"/>
    <sheet name="SHARE INDIA" sheetId="28" r:id="rId25"/>
    <sheet name="RKEC" sheetId="29" r:id="rId26"/>
    <sheet name="D.P. ABHUSHAN" sheetId="30" r:id="rId27"/>
    <sheet name="ANI INTEGRATED" sheetId="31" r:id="rId28"/>
    <sheet name="DYNAMIC CABLES" sheetId="32" r:id="rId29"/>
    <sheet name="HINDCON" sheetId="34" r:id="rId30"/>
    <sheet name="TARACHAND" sheetId="35" r:id="rId31"/>
    <sheet name="DHRUV" sheetId="54" r:id="rId32"/>
    <sheet name="SONAM" sheetId="55" r:id="rId33"/>
    <sheet name="PARIN" sheetId="57" r:id="rId34"/>
    <sheet name="KRITHIKA" sheetId="58" r:id="rId35"/>
    <sheet name="MINDPOOL" sheetId="60" r:id="rId36"/>
    <sheet name="VR FILMS" sheetId="61" r:id="rId37"/>
    <sheet name="EVANS" sheetId="62" r:id="rId38"/>
    <sheet name="EARUM" sheetId="63" r:id="rId39"/>
    <sheet name="GIAN LIFE CARE LTD." sheetId="64" r:id="rId40"/>
    <sheet name="HINDPRAKASH" sheetId="65" r:id="rId41"/>
    <sheet name="SM AUTO" sheetId="66" r:id="rId42"/>
    <sheet name="KMEW" sheetId="68" r:id="rId43"/>
    <sheet name="SURATWWALA" sheetId="67" r:id="rId44"/>
    <sheet name="EKI" sheetId="69" r:id="rId45"/>
    <sheet name="DU DIGITAL" sheetId="70" r:id="rId46"/>
    <sheet name="PREVEST" sheetId="71" r:id="rId47"/>
    <sheet name="JAINAM" sheetId="72" r:id="rId48"/>
    <sheet name="SVRL" sheetId="73" r:id="rId49"/>
    <sheet name="KNAGRI" sheetId="74" r:id="rId50"/>
    <sheet name="KRISHNADEF" sheetId="75" r:id="rId51"/>
    <sheet name="EIGHTY" sheetId="77" r:id="rId52"/>
    <sheet name="SILICON" sheetId="78" r:id="rId53"/>
    <sheet name="CARGOSOL" sheetId="79" r:id="rId54"/>
    <sheet name="VEDANT" sheetId="80" r:id="rId55"/>
    <sheet name="LLOYDS" sheetId="81" r:id="rId56"/>
    <sheet name="CARGOTRANS" sheetId="82" r:id="rId57"/>
    <sheet name="Concord" sheetId="92" r:id="rId58"/>
    <sheet name="Baheti" sheetId="84" r:id="rId59"/>
    <sheet name="Chaman" sheetId="85" r:id="rId60"/>
    <sheet name="Earthstahl" sheetId="86" r:id="rId61"/>
    <sheet name="LAbelkraft" sheetId="89" r:id="rId62"/>
    <sheet name="Macfos" sheetId="90" r:id="rId63"/>
    <sheet name="Systango" sheetId="91" r:id="rId64"/>
    <sheet name="VASA Denticity" sheetId="101" r:id="rId65"/>
    <sheet name="Hemant" sheetId="98" r:id="rId66"/>
    <sheet name="Greenchef" sheetId="97" r:id="rId67"/>
    <sheet name="KAKA" sheetId="104" r:id="rId68"/>
    <sheet name="Asarfi" sheetId="102" r:id="rId69"/>
    <sheet name="Kahan" sheetId="100" r:id="rId70"/>
    <sheet name="Madhusudan" sheetId="94" r:id="rId71"/>
    <sheet name="Saakshi" sheetId="95" r:id="rId72"/>
    <sheet name="Arabian Petroleum" sheetId="99" r:id="rId73"/>
    <sheet name="E-factor" sheetId="105" r:id="rId74"/>
    <sheet name="Paragon Fine" sheetId="96" r:id="rId75"/>
    <sheet name="Deepak Chemtex" sheetId="107" r:id="rId76"/>
    <sheet name="SJLOGISTIC" sheetId="114" r:id="rId77"/>
    <sheet name="SIYARAM" sheetId="109" r:id="rId78"/>
    <sheet name="Shanti Spintex" sheetId="106" r:id="rId79"/>
    <sheet name="Shri Balaji " sheetId="113" r:id="rId80"/>
    <sheet name="NEW SWAN" sheetId="111" r:id="rId81"/>
    <sheet name="HARSHDEEP" sheetId="110" r:id="rId82"/>
    <sheet name="Megatherm " sheetId="112" r:id="rId83"/>
  </sheets>
  <definedNames>
    <definedName name="_xlnm.Print_Area" localSheetId="57">Concord!$A$1:$N$99</definedName>
    <definedName name="_xlnm.Print_Area" localSheetId="42">KMEW!$A$1:$N$102</definedName>
    <definedName name="_xlnm.Print_Area" localSheetId="50">KRISHNADEF!$A$1:$N$98</definedName>
    <definedName name="_xlnm.Print_Area" localSheetId="46">PREVEST!$A$1:$N$101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2" i="111" l="1"/>
  <c r="D96" i="111"/>
  <c r="D90" i="111"/>
  <c r="D84" i="111"/>
  <c r="D98" i="109"/>
  <c r="D93" i="109"/>
  <c r="D88" i="109"/>
  <c r="D83" i="109"/>
  <c r="D102" i="107"/>
  <c r="D96" i="107"/>
  <c r="D90" i="107"/>
  <c r="D84" i="107"/>
  <c r="D106" i="106"/>
  <c r="D99" i="106"/>
  <c r="D92" i="106"/>
  <c r="D85" i="106"/>
  <c r="D108" i="102"/>
  <c r="D102" i="102"/>
  <c r="D96" i="102"/>
  <c r="D90" i="102"/>
  <c r="D97" i="99" l="1"/>
  <c r="D92" i="99"/>
  <c r="D87" i="99"/>
  <c r="D82" i="99"/>
  <c r="D104" i="96" l="1"/>
  <c r="D97" i="96"/>
  <c r="D90" i="96"/>
  <c r="D83" i="96"/>
  <c r="F103" i="74" l="1"/>
  <c r="F96" i="74"/>
  <c r="F86" i="74"/>
  <c r="E86" i="74"/>
  <c r="H113" i="67" l="1"/>
  <c r="I112" i="67"/>
  <c r="I111" i="67"/>
  <c r="I110" i="67"/>
  <c r="I109" i="67"/>
  <c r="I108" i="67"/>
  <c r="I113" i="67" s="1"/>
  <c r="I106" i="67"/>
  <c r="H106" i="67"/>
  <c r="H105" i="67"/>
  <c r="I104" i="67"/>
  <c r="I103" i="67"/>
  <c r="I102" i="67"/>
  <c r="I101" i="67"/>
  <c r="I100" i="67"/>
  <c r="I105" i="67" s="1"/>
  <c r="I98" i="67"/>
  <c r="H98" i="67"/>
  <c r="H97" i="67"/>
  <c r="I96" i="67"/>
  <c r="I95" i="67"/>
  <c r="I94" i="67"/>
  <c r="I93" i="67"/>
  <c r="I92" i="67"/>
  <c r="I90" i="67"/>
  <c r="H90" i="67"/>
  <c r="I89" i="67"/>
  <c r="H89" i="67"/>
  <c r="I97" i="67" l="1"/>
  <c r="E86" i="82"/>
  <c r="E96" i="82"/>
  <c r="E101" i="79"/>
  <c r="E95" i="79"/>
  <c r="E85" i="79"/>
  <c r="E89" i="77"/>
  <c r="F93" i="71"/>
  <c r="F89" i="71"/>
  <c r="F83" i="71"/>
  <c r="F95" i="72"/>
  <c r="F93" i="72"/>
  <c r="F85" i="72"/>
  <c r="F83" i="72"/>
  <c r="F97" i="73"/>
  <c r="F101" i="74"/>
  <c r="E98" i="79"/>
  <c r="E92" i="79"/>
  <c r="E104" i="82" l="1"/>
  <c r="E103" i="82"/>
  <c r="E89" i="82"/>
  <c r="E87" i="92"/>
  <c r="E84" i="92"/>
  <c r="E81" i="92"/>
  <c r="E83" i="85"/>
  <c r="E88" i="91"/>
  <c r="E85" i="91"/>
  <c r="E106" i="77"/>
  <c r="F106" i="74"/>
  <c r="F104" i="74"/>
  <c r="F107" i="74" s="1"/>
  <c r="F106" i="73"/>
  <c r="F103" i="73"/>
  <c r="F96" i="72"/>
  <c r="F99" i="74"/>
  <c r="F92" i="74"/>
  <c r="F97" i="74"/>
  <c r="F100" i="74" s="1"/>
  <c r="F90" i="74"/>
  <c r="F93" i="74" s="1"/>
  <c r="F86" i="73"/>
  <c r="F99" i="73"/>
  <c r="F92" i="73"/>
  <c r="F105" i="73"/>
  <c r="F98" i="73"/>
  <c r="F91" i="73"/>
  <c r="F104" i="73"/>
  <c r="F90" i="73"/>
  <c r="F93" i="73" s="1"/>
  <c r="F96" i="73"/>
  <c r="F89" i="73"/>
  <c r="F101" i="73"/>
  <c r="F94" i="73"/>
  <c r="F97" i="72"/>
  <c r="F87" i="72"/>
  <c r="F82" i="72"/>
  <c r="F91" i="72"/>
  <c r="F92" i="72" s="1"/>
  <c r="F86" i="72"/>
  <c r="F90" i="72"/>
  <c r="F88" i="72"/>
  <c r="F85" i="71"/>
  <c r="G92" i="68"/>
  <c r="G88" i="68"/>
  <c r="G84" i="68"/>
  <c r="G90" i="68"/>
  <c r="G86" i="68"/>
  <c r="G82" i="68"/>
  <c r="F94" i="74"/>
  <c r="F87" i="74"/>
  <c r="E86" i="77"/>
  <c r="E109" i="77"/>
  <c r="E101" i="77"/>
  <c r="E93" i="77"/>
  <c r="E108" i="77"/>
  <c r="E100" i="77"/>
  <c r="E107" i="77"/>
  <c r="E99" i="77"/>
  <c r="E91" i="77"/>
  <c r="E98" i="77"/>
  <c r="E90" i="77"/>
  <c r="E105" i="77"/>
  <c r="E97" i="77"/>
  <c r="E103" i="77"/>
  <c r="E95" i="77"/>
  <c r="E87" i="77"/>
  <c r="E88" i="78"/>
  <c r="E85" i="78"/>
  <c r="E82" i="78"/>
  <c r="E102" i="79"/>
  <c r="E96" i="79"/>
  <c r="E90" i="79"/>
  <c r="E100" i="79"/>
  <c r="E94" i="79"/>
  <c r="E97" i="79" s="1"/>
  <c r="E88" i="79"/>
  <c r="E91" i="79" s="1"/>
  <c r="E86" i="79"/>
  <c r="E89" i="80"/>
  <c r="E86" i="80"/>
  <c r="E83" i="80"/>
  <c r="E89" i="81"/>
  <c r="E86" i="81"/>
  <c r="E106" i="82"/>
  <c r="E99" i="82"/>
  <c r="E92" i="82"/>
  <c r="E90" i="82"/>
  <c r="E91" i="82"/>
  <c r="E97" i="82"/>
  <c r="E100" i="82" s="1"/>
  <c r="E101" i="82"/>
  <c r="E94" i="82"/>
  <c r="E87" i="82"/>
  <c r="E89" i="84"/>
  <c r="E86" i="84"/>
  <c r="E83" i="84"/>
  <c r="E86" i="85"/>
  <c r="E80" i="85"/>
  <c r="E88" i="86"/>
  <c r="E85" i="86"/>
  <c r="B74" i="86"/>
  <c r="E82" i="86"/>
  <c r="E87" i="89"/>
  <c r="E84" i="89"/>
  <c r="E81" i="89"/>
  <c r="E87" i="90"/>
  <c r="E84" i="90"/>
  <c r="E81" i="90"/>
  <c r="E82" i="91"/>
  <c r="J65" i="70"/>
  <c r="H65" i="70"/>
  <c r="G65" i="70"/>
  <c r="E94" i="77" l="1"/>
  <c r="E93" i="82"/>
  <c r="E103" i="79"/>
  <c r="E107" i="82"/>
  <c r="F100" i="73"/>
  <c r="F107" i="73"/>
  <c r="E110" i="77"/>
  <c r="E102" i="77"/>
  <c r="E86" i="75"/>
  <c r="E92" i="75"/>
  <c r="E89" i="75"/>
  <c r="E87" i="69" l="1"/>
  <c r="G103" i="88" l="1"/>
  <c r="G102" i="88"/>
  <c r="G101" i="88"/>
  <c r="G99" i="88"/>
  <c r="G97" i="88"/>
  <c r="G96" i="88"/>
  <c r="G95" i="88"/>
  <c r="G93" i="88"/>
  <c r="G91" i="88"/>
  <c r="G90" i="88"/>
  <c r="G89" i="88"/>
  <c r="G87" i="88"/>
  <c r="D104" i="88" l="1"/>
  <c r="F103" i="88"/>
  <c r="E103" i="88"/>
  <c r="F102" i="88"/>
  <c r="E102" i="88"/>
  <c r="F101" i="88"/>
  <c r="F104" i="88" s="1"/>
  <c r="E101" i="88"/>
  <c r="F99" i="88"/>
  <c r="E99" i="88"/>
  <c r="D98" i="88"/>
  <c r="F97" i="88"/>
  <c r="E97" i="88"/>
  <c r="F96" i="88"/>
  <c r="E96" i="88"/>
  <c r="F95" i="88"/>
  <c r="E95" i="88"/>
  <c r="F93" i="88"/>
  <c r="E93" i="88"/>
  <c r="D92" i="88"/>
  <c r="F91" i="88"/>
  <c r="E91" i="88"/>
  <c r="F90" i="88"/>
  <c r="E90" i="88"/>
  <c r="F89" i="88"/>
  <c r="E89" i="88"/>
  <c r="F87" i="88"/>
  <c r="E87" i="88"/>
  <c r="F86" i="88"/>
  <c r="E86" i="88"/>
  <c r="D86" i="88"/>
  <c r="E92" i="88" l="1"/>
  <c r="E98" i="88"/>
  <c r="E104" i="88"/>
  <c r="F92" i="88"/>
  <c r="F98" i="88"/>
  <c r="G84" i="62"/>
  <c r="G83" i="61"/>
  <c r="F83" i="61"/>
  <c r="D107" i="82"/>
  <c r="D100" i="82"/>
  <c r="D93" i="82"/>
  <c r="D86" i="82"/>
  <c r="D103" i="79" l="1"/>
  <c r="D97" i="79"/>
  <c r="D91" i="79"/>
  <c r="D85" i="79"/>
  <c r="D110" i="77" l="1"/>
  <c r="D102" i="77"/>
  <c r="D94" i="77"/>
  <c r="D86" i="77"/>
  <c r="E107" i="74"/>
  <c r="D107" i="74"/>
  <c r="E100" i="74"/>
  <c r="D100" i="74"/>
  <c r="E93" i="74"/>
  <c r="D93" i="74"/>
  <c r="D86" i="74"/>
  <c r="E107" i="73"/>
  <c r="D107" i="73"/>
  <c r="E100" i="73"/>
  <c r="D100" i="73"/>
  <c r="E93" i="73"/>
  <c r="D93" i="73"/>
  <c r="E86" i="73"/>
  <c r="D86" i="73"/>
  <c r="E97" i="72"/>
  <c r="D97" i="72"/>
  <c r="D92" i="72"/>
  <c r="E92" i="72"/>
  <c r="E87" i="72"/>
  <c r="D87" i="72"/>
  <c r="E82" i="72"/>
  <c r="D82" i="72"/>
  <c r="G90" i="66"/>
  <c r="G102" i="66"/>
  <c r="G96" i="66"/>
  <c r="G84" i="66"/>
  <c r="G103" i="65"/>
  <c r="D103" i="65"/>
  <c r="G97" i="65"/>
  <c r="D97" i="65"/>
  <c r="G91" i="65"/>
  <c r="D91" i="65"/>
  <c r="G85" i="65"/>
  <c r="D85" i="65"/>
  <c r="G97" i="64"/>
  <c r="F97" i="64"/>
  <c r="E97" i="64"/>
  <c r="D97" i="64"/>
  <c r="G103" i="64"/>
  <c r="F103" i="64"/>
  <c r="E103" i="64"/>
  <c r="D103" i="64"/>
  <c r="G91" i="64"/>
  <c r="G85" i="64"/>
  <c r="F85" i="64"/>
  <c r="E85" i="64"/>
  <c r="D85" i="64"/>
  <c r="E101" i="73" l="1"/>
  <c r="E94" i="73"/>
  <c r="E87" i="73"/>
  <c r="E101" i="74"/>
  <c r="E94" i="74"/>
  <c r="E83" i="69"/>
  <c r="G98" i="65"/>
  <c r="G92" i="65"/>
  <c r="G86" i="65"/>
  <c r="E91" i="71"/>
  <c r="E87" i="71"/>
  <c r="E83" i="71"/>
  <c r="E98" i="65" l="1"/>
  <c r="F98" i="65"/>
  <c r="E93" i="72"/>
  <c r="E89" i="70"/>
  <c r="E85" i="70"/>
  <c r="E87" i="74" l="1"/>
  <c r="E88" i="72" l="1"/>
  <c r="E83" i="72"/>
  <c r="E91" i="69"/>
  <c r="E93" i="68"/>
  <c r="D93" i="68"/>
  <c r="F90" i="68"/>
  <c r="F86" i="68"/>
  <c r="D85" i="68"/>
  <c r="F82" i="68"/>
  <c r="E82" i="68"/>
  <c r="G113" i="67"/>
  <c r="F113" i="67"/>
  <c r="G106" i="67"/>
  <c r="G105" i="67"/>
  <c r="F105" i="67"/>
  <c r="G98" i="67"/>
  <c r="F97" i="67"/>
  <c r="G94" i="67"/>
  <c r="G92" i="67"/>
  <c r="G90" i="67"/>
  <c r="G89" i="67"/>
  <c r="F89" i="67"/>
  <c r="F102" i="66"/>
  <c r="E102" i="66"/>
  <c r="D102" i="66"/>
  <c r="G97" i="66"/>
  <c r="F97" i="66"/>
  <c r="F96" i="66"/>
  <c r="E96" i="66"/>
  <c r="D96" i="66"/>
  <c r="G91" i="66"/>
  <c r="F91" i="66"/>
  <c r="E91" i="66"/>
  <c r="F90" i="66"/>
  <c r="D90" i="66"/>
  <c r="E87" i="66"/>
  <c r="E90" i="66" s="1"/>
  <c r="G85" i="66"/>
  <c r="F85" i="66"/>
  <c r="E85" i="66"/>
  <c r="F84" i="66"/>
  <c r="E84" i="66"/>
  <c r="D84" i="66"/>
  <c r="F103" i="65"/>
  <c r="E103" i="65"/>
  <c r="F97" i="65"/>
  <c r="E97" i="65"/>
  <c r="F92" i="65"/>
  <c r="E92" i="65"/>
  <c r="F90" i="65"/>
  <c r="E90" i="65"/>
  <c r="F88" i="65"/>
  <c r="E88" i="65"/>
  <c r="F86" i="65"/>
  <c r="E86" i="65"/>
  <c r="F85" i="65"/>
  <c r="E85" i="65"/>
  <c r="F98" i="64"/>
  <c r="E98" i="64"/>
  <c r="F92" i="64"/>
  <c r="E92" i="64"/>
  <c r="F90" i="64"/>
  <c r="E90" i="64"/>
  <c r="D90" i="64"/>
  <c r="D91" i="64" s="1"/>
  <c r="F89" i="64"/>
  <c r="E89" i="64"/>
  <c r="F88" i="64"/>
  <c r="E88" i="64"/>
  <c r="F86" i="64"/>
  <c r="E86" i="64"/>
  <c r="G92" i="63"/>
  <c r="F92" i="63"/>
  <c r="E92" i="63"/>
  <c r="G88" i="63"/>
  <c r="F88" i="63"/>
  <c r="E88" i="63"/>
  <c r="E87" i="63"/>
  <c r="F86" i="63"/>
  <c r="F87" i="63" s="1"/>
  <c r="G84" i="63"/>
  <c r="F84" i="63"/>
  <c r="E84" i="63"/>
  <c r="F90" i="62"/>
  <c r="E90" i="62"/>
  <c r="F87" i="62"/>
  <c r="E87" i="62"/>
  <c r="F84" i="62"/>
  <c r="E84" i="62"/>
  <c r="E89" i="61"/>
  <c r="E86" i="61"/>
  <c r="E83" i="61"/>
  <c r="E89" i="60"/>
  <c r="E86" i="60"/>
  <c r="G83" i="60"/>
  <c r="F83" i="60"/>
  <c r="E83" i="60"/>
  <c r="G99" i="58"/>
  <c r="F99" i="58"/>
  <c r="E97" i="58"/>
  <c r="E99" i="58" s="1"/>
  <c r="E95" i="58"/>
  <c r="G94" i="58"/>
  <c r="F94" i="58"/>
  <c r="E93" i="58"/>
  <c r="E92" i="58"/>
  <c r="E90" i="58"/>
  <c r="G88" i="58"/>
  <c r="F88" i="58"/>
  <c r="G87" i="58"/>
  <c r="F87" i="58"/>
  <c r="E87" i="58"/>
  <c r="E89" i="58" s="1"/>
  <c r="G85" i="58"/>
  <c r="F85" i="58"/>
  <c r="E85" i="58"/>
  <c r="G84" i="58"/>
  <c r="F84" i="58"/>
  <c r="E84" i="58"/>
  <c r="E92" i="57"/>
  <c r="E90" i="57"/>
  <c r="E88" i="57"/>
  <c r="G86" i="57"/>
  <c r="F86" i="57"/>
  <c r="E86" i="57"/>
  <c r="G84" i="57"/>
  <c r="F84" i="57"/>
  <c r="E84" i="57"/>
  <c r="E94" i="58" l="1"/>
  <c r="E91" i="64"/>
  <c r="G89" i="58"/>
  <c r="F91" i="64"/>
  <c r="E91" i="65"/>
  <c r="F89" i="58"/>
  <c r="F91" i="65"/>
  <c r="G97" i="67"/>
  <c r="E92" i="55"/>
  <c r="E88" i="55"/>
  <c r="G84" i="55"/>
  <c r="F84" i="55"/>
  <c r="E84" i="55"/>
  <c r="G99" i="54" l="1"/>
  <c r="F99" i="54"/>
  <c r="E99" i="54"/>
  <c r="D99" i="54"/>
  <c r="E95" i="54"/>
  <c r="G94" i="54"/>
  <c r="F94" i="54"/>
  <c r="E94" i="54"/>
  <c r="D94" i="54"/>
  <c r="E90" i="54"/>
  <c r="E89" i="54"/>
  <c r="D89" i="54"/>
  <c r="F88" i="54"/>
  <c r="G87" i="54"/>
  <c r="G89" i="54" s="1"/>
  <c r="F87" i="54"/>
  <c r="G85" i="54"/>
  <c r="F85" i="54"/>
  <c r="E85" i="54"/>
  <c r="G84" i="54"/>
  <c r="F84" i="54"/>
  <c r="E84" i="54"/>
  <c r="D84" i="54"/>
  <c r="F89" i="54" l="1"/>
  <c r="G107" i="28"/>
  <c r="F106" i="28"/>
  <c r="E106" i="28"/>
  <c r="F105" i="28"/>
  <c r="E105" i="28"/>
  <c r="F104" i="28"/>
  <c r="E104" i="28"/>
  <c r="F103" i="28"/>
  <c r="E103" i="28"/>
  <c r="G101" i="28"/>
  <c r="F101" i="28"/>
  <c r="E101" i="28"/>
  <c r="G100" i="28"/>
  <c r="F99" i="28"/>
  <c r="E99" i="28"/>
  <c r="F98" i="28"/>
  <c r="E98" i="28"/>
  <c r="F97" i="28"/>
  <c r="E97" i="28"/>
  <c r="F96" i="28"/>
  <c r="E96" i="28"/>
  <c r="G94" i="28"/>
  <c r="F94" i="28"/>
  <c r="E94" i="28"/>
  <c r="G93" i="28"/>
  <c r="F92" i="28"/>
  <c r="E92" i="28"/>
  <c r="F91" i="28"/>
  <c r="E91" i="28"/>
  <c r="F90" i="28"/>
  <c r="E90" i="28"/>
  <c r="F89" i="28"/>
  <c r="E89" i="28"/>
  <c r="G87" i="28"/>
  <c r="F87" i="28"/>
  <c r="E87" i="28"/>
  <c r="G86" i="28"/>
  <c r="D29" i="28"/>
  <c r="G114" i="27"/>
  <c r="G115" i="27" s="1"/>
  <c r="E114" i="27"/>
  <c r="F113" i="27"/>
  <c r="F112" i="27"/>
  <c r="F111" i="27"/>
  <c r="F109" i="27"/>
  <c r="G107" i="27"/>
  <c r="F107" i="27"/>
  <c r="E107" i="27"/>
  <c r="G105" i="27"/>
  <c r="G106" i="27" s="1"/>
  <c r="F105" i="27"/>
  <c r="E105" i="27"/>
  <c r="F104" i="27"/>
  <c r="F103" i="27"/>
  <c r="E103" i="27"/>
  <c r="F102" i="27"/>
  <c r="E102" i="27"/>
  <c r="F100" i="27"/>
  <c r="G98" i="27"/>
  <c r="F98" i="27"/>
  <c r="E98" i="27"/>
  <c r="F96" i="27"/>
  <c r="F95" i="27"/>
  <c r="F94" i="27"/>
  <c r="F93" i="27"/>
  <c r="G89" i="27"/>
  <c r="F89" i="27"/>
  <c r="G88" i="27"/>
  <c r="F88" i="27"/>
  <c r="G98" i="26"/>
  <c r="D98" i="26"/>
  <c r="F97" i="26"/>
  <c r="E97" i="26"/>
  <c r="F96" i="26"/>
  <c r="E96" i="26"/>
  <c r="G94" i="26"/>
  <c r="F94" i="26"/>
  <c r="E94" i="26"/>
  <c r="G93" i="26"/>
  <c r="D93" i="26"/>
  <c r="F92" i="26"/>
  <c r="E92" i="26"/>
  <c r="F91" i="26"/>
  <c r="E91" i="26"/>
  <c r="G89" i="26"/>
  <c r="F89" i="26"/>
  <c r="E89" i="26"/>
  <c r="G88" i="26"/>
  <c r="D88" i="26"/>
  <c r="F87" i="26"/>
  <c r="E87" i="26"/>
  <c r="F86" i="26"/>
  <c r="E86" i="26"/>
  <c r="E84" i="26"/>
  <c r="G83" i="26"/>
  <c r="F83" i="26"/>
  <c r="E83" i="26"/>
  <c r="D83" i="26"/>
  <c r="D103" i="25"/>
  <c r="G102" i="25"/>
  <c r="G103" i="25" s="1"/>
  <c r="F102" i="25"/>
  <c r="E102" i="25"/>
  <c r="F101" i="25"/>
  <c r="E101" i="25"/>
  <c r="F100" i="25"/>
  <c r="E100" i="25"/>
  <c r="G98" i="25"/>
  <c r="F98" i="25"/>
  <c r="E98" i="25"/>
  <c r="D97" i="25"/>
  <c r="G96" i="25"/>
  <c r="G97" i="25" s="1"/>
  <c r="F96" i="25"/>
  <c r="E96" i="25"/>
  <c r="F95" i="25"/>
  <c r="E95" i="25"/>
  <c r="F94" i="25"/>
  <c r="E94" i="25"/>
  <c r="G92" i="25"/>
  <c r="F92" i="25"/>
  <c r="E92" i="25"/>
  <c r="D91" i="25"/>
  <c r="F90" i="25"/>
  <c r="E90" i="25"/>
  <c r="F89" i="25"/>
  <c r="F88" i="25"/>
  <c r="E88" i="25"/>
  <c r="G86" i="25"/>
  <c r="F86" i="25"/>
  <c r="E86" i="25"/>
  <c r="G85" i="25"/>
  <c r="F85" i="25"/>
  <c r="E85" i="25"/>
  <c r="D85" i="25"/>
  <c r="C32" i="25"/>
  <c r="D31" i="25"/>
  <c r="C31" i="25"/>
  <c r="C30" i="25"/>
  <c r="C29" i="25"/>
  <c r="D107" i="24"/>
  <c r="F106" i="24"/>
  <c r="E106" i="24"/>
  <c r="F105" i="24"/>
  <c r="E105" i="24"/>
  <c r="G104" i="24"/>
  <c r="G107" i="24" s="1"/>
  <c r="F104" i="24"/>
  <c r="E104" i="24"/>
  <c r="F103" i="24"/>
  <c r="E103" i="24"/>
  <c r="G101" i="24"/>
  <c r="F101" i="24"/>
  <c r="E101" i="24"/>
  <c r="D100" i="24"/>
  <c r="F99" i="24"/>
  <c r="E99" i="24"/>
  <c r="F98" i="24"/>
  <c r="E98" i="24"/>
  <c r="G97" i="24"/>
  <c r="G100" i="24" s="1"/>
  <c r="F97" i="24"/>
  <c r="E97" i="24"/>
  <c r="F96" i="24"/>
  <c r="E96" i="24"/>
  <c r="G94" i="24"/>
  <c r="F94" i="24"/>
  <c r="E94" i="24"/>
  <c r="D93" i="24"/>
  <c r="F92" i="24"/>
  <c r="E92" i="24"/>
  <c r="F91" i="24"/>
  <c r="E91" i="24"/>
  <c r="F90" i="24"/>
  <c r="F89" i="24"/>
  <c r="E89" i="24"/>
  <c r="G87" i="24"/>
  <c r="F87" i="24"/>
  <c r="E87" i="24"/>
  <c r="G86" i="24"/>
  <c r="F86" i="24"/>
  <c r="E86" i="24"/>
  <c r="D86" i="24"/>
  <c r="G89" i="23"/>
  <c r="F89" i="23"/>
  <c r="G86" i="23"/>
  <c r="F86" i="23"/>
  <c r="G83" i="23"/>
  <c r="F83" i="23"/>
  <c r="D113" i="22"/>
  <c r="F112" i="22"/>
  <c r="E112" i="22"/>
  <c r="F111" i="22"/>
  <c r="E111" i="22"/>
  <c r="F110" i="22"/>
  <c r="E110" i="22"/>
  <c r="F109" i="22"/>
  <c r="E109" i="22"/>
  <c r="E108" i="22"/>
  <c r="G106" i="22"/>
  <c r="F106" i="22"/>
  <c r="E106" i="22"/>
  <c r="D105" i="22"/>
  <c r="F104" i="22"/>
  <c r="E104" i="22"/>
  <c r="F103" i="22"/>
  <c r="E103" i="22"/>
  <c r="F102" i="22"/>
  <c r="E102" i="22"/>
  <c r="F101" i="22"/>
  <c r="E101" i="22"/>
  <c r="E100" i="22"/>
  <c r="G98" i="22"/>
  <c r="F98" i="22"/>
  <c r="E98" i="22"/>
  <c r="D97" i="22"/>
  <c r="F96" i="22"/>
  <c r="E96" i="22"/>
  <c r="F95" i="22"/>
  <c r="E95" i="22"/>
  <c r="F94" i="22"/>
  <c r="E94" i="22"/>
  <c r="F93" i="22"/>
  <c r="E93" i="22"/>
  <c r="E92" i="22"/>
  <c r="G90" i="22"/>
  <c r="F90" i="22"/>
  <c r="E90" i="22"/>
  <c r="F89" i="22"/>
  <c r="E89" i="22"/>
  <c r="D89" i="22"/>
  <c r="G110" i="21"/>
  <c r="F109" i="21"/>
  <c r="E109" i="21"/>
  <c r="F108" i="21"/>
  <c r="E108" i="21"/>
  <c r="F107" i="21"/>
  <c r="E107" i="21"/>
  <c r="F106" i="21"/>
  <c r="E106" i="21"/>
  <c r="G104" i="21"/>
  <c r="F104" i="21"/>
  <c r="G103" i="21"/>
  <c r="D103" i="21"/>
  <c r="F102" i="21"/>
  <c r="E102" i="21"/>
  <c r="F101" i="21"/>
  <c r="E101" i="21"/>
  <c r="F100" i="21"/>
  <c r="E100" i="21"/>
  <c r="F99" i="21"/>
  <c r="E99" i="21"/>
  <c r="E103" i="21" s="1"/>
  <c r="G97" i="21"/>
  <c r="F97" i="21"/>
  <c r="G96" i="21"/>
  <c r="D96" i="21"/>
  <c r="F95" i="21"/>
  <c r="E95" i="21"/>
  <c r="F94" i="21"/>
  <c r="E94" i="21"/>
  <c r="F93" i="21"/>
  <c r="E93" i="21"/>
  <c r="F92" i="21"/>
  <c r="E92" i="21"/>
  <c r="G90" i="21"/>
  <c r="F90" i="21"/>
  <c r="G89" i="21"/>
  <c r="F89" i="21"/>
  <c r="E89" i="21"/>
  <c r="D89" i="21"/>
  <c r="D121" i="52"/>
  <c r="F120" i="52"/>
  <c r="E120" i="52"/>
  <c r="F119" i="52"/>
  <c r="E119" i="52"/>
  <c r="F118" i="52"/>
  <c r="E118" i="52"/>
  <c r="E117" i="52"/>
  <c r="F116" i="52"/>
  <c r="E116" i="52"/>
  <c r="G115" i="52"/>
  <c r="G121" i="52" s="1"/>
  <c r="F114" i="52"/>
  <c r="E114" i="52"/>
  <c r="G112" i="52"/>
  <c r="F112" i="52"/>
  <c r="G111" i="52"/>
  <c r="D111" i="52"/>
  <c r="F110" i="52"/>
  <c r="E110" i="52"/>
  <c r="F109" i="52"/>
  <c r="E109" i="52"/>
  <c r="F108" i="52"/>
  <c r="E108" i="52"/>
  <c r="E107" i="52"/>
  <c r="F106" i="52"/>
  <c r="E106" i="52"/>
  <c r="G105" i="52"/>
  <c r="F104" i="52"/>
  <c r="E104" i="52"/>
  <c r="G102" i="52"/>
  <c r="F102" i="52"/>
  <c r="D101" i="52"/>
  <c r="F100" i="52"/>
  <c r="E100" i="52"/>
  <c r="F99" i="52"/>
  <c r="E99" i="52"/>
  <c r="F98" i="52"/>
  <c r="E98" i="52"/>
  <c r="E97" i="52"/>
  <c r="F96" i="52"/>
  <c r="E96" i="52"/>
  <c r="F94" i="52"/>
  <c r="E94" i="52"/>
  <c r="G92" i="52"/>
  <c r="F92" i="52"/>
  <c r="G91" i="52"/>
  <c r="F91" i="52"/>
  <c r="E91" i="52"/>
  <c r="D91" i="52"/>
  <c r="F99" i="35"/>
  <c r="D99" i="35"/>
  <c r="E98" i="35"/>
  <c r="E97" i="35"/>
  <c r="F95" i="35"/>
  <c r="E95" i="35"/>
  <c r="F94" i="35"/>
  <c r="D94" i="35"/>
  <c r="E93" i="35"/>
  <c r="E92" i="35"/>
  <c r="F90" i="35"/>
  <c r="E90" i="35"/>
  <c r="D89" i="35"/>
  <c r="F88" i="35"/>
  <c r="E88" i="35"/>
  <c r="F87" i="35"/>
  <c r="E87" i="35"/>
  <c r="F85" i="35"/>
  <c r="E85" i="35"/>
  <c r="F84" i="35"/>
  <c r="E84" i="35"/>
  <c r="D84" i="35"/>
  <c r="D103" i="34"/>
  <c r="F102" i="34"/>
  <c r="E102" i="34"/>
  <c r="F101" i="34"/>
  <c r="E101" i="34"/>
  <c r="F100" i="34"/>
  <c r="E100" i="34"/>
  <c r="F98" i="34"/>
  <c r="E98" i="34"/>
  <c r="D97" i="34"/>
  <c r="F96" i="34"/>
  <c r="E96" i="34"/>
  <c r="F95" i="34"/>
  <c r="E95" i="34"/>
  <c r="F94" i="34"/>
  <c r="E94" i="34"/>
  <c r="F92" i="34"/>
  <c r="E96" i="21" l="1"/>
  <c r="F96" i="21"/>
  <c r="F103" i="34"/>
  <c r="F93" i="26"/>
  <c r="E94" i="35"/>
  <c r="F103" i="21"/>
  <c r="E105" i="22"/>
  <c r="E93" i="24"/>
  <c r="F106" i="27"/>
  <c r="F100" i="24"/>
  <c r="E107" i="24"/>
  <c r="F88" i="26"/>
  <c r="E99" i="35"/>
  <c r="F114" i="27"/>
  <c r="E97" i="34"/>
  <c r="E89" i="35"/>
  <c r="F97" i="34"/>
  <c r="F97" i="25"/>
  <c r="F110" i="21"/>
  <c r="F89" i="35"/>
  <c r="F111" i="52"/>
  <c r="F97" i="22"/>
  <c r="E103" i="34"/>
  <c r="F98" i="26"/>
  <c r="E121" i="52"/>
  <c r="E113" i="22"/>
  <c r="F93" i="24"/>
  <c r="F107" i="24"/>
  <c r="E101" i="52"/>
  <c r="F121" i="52"/>
  <c r="F105" i="22"/>
  <c r="E91" i="25"/>
  <c r="F101" i="52"/>
  <c r="E111" i="52"/>
  <c r="E97" i="22"/>
  <c r="F113" i="22"/>
  <c r="E100" i="24"/>
  <c r="F91" i="25"/>
  <c r="E97" i="25"/>
  <c r="F103" i="25"/>
  <c r="E88" i="26"/>
  <c r="F97" i="27"/>
  <c r="E93" i="26"/>
  <c r="E98" i="26"/>
  <c r="E103" i="25"/>
  <c r="F115" i="27"/>
  <c r="E92" i="34"/>
  <c r="D91" i="34"/>
  <c r="F90" i="34"/>
  <c r="E90" i="34"/>
  <c r="F89" i="34"/>
  <c r="E89" i="34"/>
  <c r="F88" i="34"/>
  <c r="E88" i="34"/>
  <c r="F86" i="34"/>
  <c r="E86" i="34"/>
  <c r="F85" i="34"/>
  <c r="E85" i="34"/>
  <c r="D85" i="34"/>
  <c r="D107" i="32"/>
  <c r="F106" i="32"/>
  <c r="E106" i="32"/>
  <c r="F105" i="32"/>
  <c r="E105" i="32"/>
  <c r="F104" i="32"/>
  <c r="E104" i="32"/>
  <c r="F103" i="32"/>
  <c r="E103" i="32"/>
  <c r="F101" i="32"/>
  <c r="E101" i="32"/>
  <c r="E107" i="32" l="1"/>
  <c r="E91" i="34"/>
  <c r="F107" i="32"/>
  <c r="F91" i="34"/>
  <c r="D100" i="32"/>
  <c r="F99" i="32"/>
  <c r="E99" i="32"/>
  <c r="F98" i="32"/>
  <c r="E98" i="32"/>
  <c r="F97" i="32"/>
  <c r="E97" i="32"/>
  <c r="F96" i="32"/>
  <c r="E96" i="32"/>
  <c r="F94" i="32"/>
  <c r="E94" i="32"/>
  <c r="D93" i="32"/>
  <c r="F92" i="32"/>
  <c r="E92" i="32"/>
  <c r="F91" i="32"/>
  <c r="E91" i="32"/>
  <c r="F90" i="32"/>
  <c r="E90" i="32"/>
  <c r="F89" i="32"/>
  <c r="E89" i="32"/>
  <c r="F87" i="32"/>
  <c r="E87" i="32"/>
  <c r="F86" i="32"/>
  <c r="E86" i="32"/>
  <c r="D86" i="32"/>
  <c r="F98" i="31"/>
  <c r="E98" i="31"/>
  <c r="F97" i="31"/>
  <c r="E97" i="31"/>
  <c r="F95" i="31"/>
  <c r="E95" i="31"/>
  <c r="F93" i="31"/>
  <c r="E93" i="31"/>
  <c r="F92" i="31"/>
  <c r="E92" i="31"/>
  <c r="F90" i="31"/>
  <c r="E90" i="31"/>
  <c r="F88" i="31"/>
  <c r="E88" i="31"/>
  <c r="F87" i="31"/>
  <c r="E87" i="31"/>
  <c r="F85" i="31"/>
  <c r="E85" i="31"/>
  <c r="D103" i="30"/>
  <c r="F102" i="30"/>
  <c r="E102" i="30"/>
  <c r="F101" i="30"/>
  <c r="E101" i="30"/>
  <c r="F100" i="30"/>
  <c r="E100" i="30"/>
  <c r="F98" i="30"/>
  <c r="E98" i="30"/>
  <c r="D97" i="30"/>
  <c r="F96" i="30"/>
  <c r="E96" i="30"/>
  <c r="F95" i="30"/>
  <c r="E95" i="30"/>
  <c r="F94" i="30"/>
  <c r="E94" i="30"/>
  <c r="F92" i="30"/>
  <c r="E92" i="30"/>
  <c r="E97" i="30" l="1"/>
  <c r="E103" i="30"/>
  <c r="E93" i="32"/>
  <c r="F103" i="30"/>
  <c r="E100" i="32"/>
  <c r="F93" i="32"/>
  <c r="F100" i="32"/>
  <c r="F97" i="30"/>
  <c r="D91" i="30"/>
  <c r="F90" i="30"/>
  <c r="E90" i="30"/>
  <c r="F89" i="30"/>
  <c r="E89" i="30"/>
  <c r="F88" i="30"/>
  <c r="E88" i="30"/>
  <c r="F86" i="30"/>
  <c r="E86" i="30"/>
  <c r="F85" i="30"/>
  <c r="E85" i="30"/>
  <c r="D85" i="30"/>
  <c r="F101" i="29"/>
  <c r="E101" i="29"/>
  <c r="F100" i="29"/>
  <c r="E100" i="29"/>
  <c r="F98" i="29"/>
  <c r="E98" i="29"/>
  <c r="F95" i="29"/>
  <c r="E95" i="29"/>
  <c r="F94" i="29"/>
  <c r="E94" i="29"/>
  <c r="F92" i="29"/>
  <c r="E92" i="29"/>
  <c r="F90" i="29"/>
  <c r="F89" i="29"/>
  <c r="E89" i="29"/>
  <c r="F88" i="29"/>
  <c r="E88" i="29"/>
  <c r="F86" i="29"/>
  <c r="E86" i="29"/>
  <c r="F91" i="30" l="1"/>
  <c r="E91" i="30"/>
  <c r="G97" i="19"/>
  <c r="D97" i="19"/>
  <c r="F96" i="19"/>
  <c r="E96" i="19"/>
  <c r="F95" i="19"/>
  <c r="E95" i="19"/>
  <c r="G93" i="19"/>
  <c r="F93" i="19"/>
  <c r="E93" i="19"/>
  <c r="G92" i="19"/>
  <c r="D92" i="19"/>
  <c r="F91" i="19"/>
  <c r="E91" i="19"/>
  <c r="F90" i="19"/>
  <c r="E90" i="19"/>
  <c r="G88" i="19"/>
  <c r="F88" i="19"/>
  <c r="E88" i="19"/>
  <c r="G87" i="19"/>
  <c r="D87" i="19"/>
  <c r="F86" i="19"/>
  <c r="E86" i="19"/>
  <c r="F85" i="19"/>
  <c r="E85" i="19"/>
  <c r="G83" i="19"/>
  <c r="F83" i="19"/>
  <c r="E83" i="19"/>
  <c r="G82" i="19"/>
  <c r="F82" i="19"/>
  <c r="E82" i="19"/>
  <c r="D82" i="19"/>
  <c r="D101" i="18"/>
  <c r="G100" i="18"/>
  <c r="F100" i="18"/>
  <c r="E100" i="18"/>
  <c r="G99" i="18"/>
  <c r="F99" i="18"/>
  <c r="G97" i="18"/>
  <c r="F97" i="18"/>
  <c r="E92" i="19" l="1"/>
  <c r="G101" i="18"/>
  <c r="F101" i="18" s="1"/>
  <c r="E101" i="18" s="1"/>
  <c r="F87" i="19"/>
  <c r="E87" i="19" s="1"/>
  <c r="F92" i="19"/>
  <c r="F97" i="19"/>
  <c r="E97" i="19" s="1"/>
  <c r="D96" i="18"/>
  <c r="G95" i="18"/>
  <c r="F95" i="18"/>
  <c r="E95" i="18"/>
  <c r="G94" i="18"/>
  <c r="F94" i="18"/>
  <c r="G92" i="18"/>
  <c r="F92" i="18"/>
  <c r="E91" i="18"/>
  <c r="D91" i="18"/>
  <c r="G90" i="18"/>
  <c r="F90" i="18"/>
  <c r="G89" i="18"/>
  <c r="F89" i="18"/>
  <c r="G87" i="18"/>
  <c r="F87" i="18"/>
  <c r="G86" i="18"/>
  <c r="F86" i="18"/>
  <c r="E86" i="18"/>
  <c r="D86" i="18"/>
  <c r="E101" i="17"/>
  <c r="D101" i="17"/>
  <c r="G100" i="17"/>
  <c r="F100" i="17"/>
  <c r="G99" i="17"/>
  <c r="F99" i="17"/>
  <c r="G97" i="17"/>
  <c r="F97" i="17"/>
  <c r="E96" i="17"/>
  <c r="D96" i="17"/>
  <c r="G95" i="17"/>
  <c r="F95" i="17"/>
  <c r="G94" i="17"/>
  <c r="F94" i="17"/>
  <c r="G92" i="17"/>
  <c r="F92" i="17"/>
  <c r="E91" i="17"/>
  <c r="D91" i="17"/>
  <c r="G90" i="17"/>
  <c r="F90" i="17"/>
  <c r="G89" i="17"/>
  <c r="F89" i="17"/>
  <c r="G87" i="17"/>
  <c r="F87" i="17"/>
  <c r="G86" i="17"/>
  <c r="F86" i="17"/>
  <c r="E86" i="17"/>
  <c r="D86" i="17"/>
  <c r="E109" i="15"/>
  <c r="D109" i="15"/>
  <c r="G108" i="15"/>
  <c r="G107" i="15"/>
  <c r="G106" i="15"/>
  <c r="F106" i="15"/>
  <c r="G105" i="15"/>
  <c r="F105" i="15"/>
  <c r="E102" i="15"/>
  <c r="D102" i="15"/>
  <c r="G101" i="15"/>
  <c r="G100" i="15"/>
  <c r="G99" i="15"/>
  <c r="F99" i="15"/>
  <c r="G98" i="15"/>
  <c r="F98" i="15"/>
  <c r="E95" i="15"/>
  <c r="D95" i="15"/>
  <c r="G94" i="15"/>
  <c r="G93" i="15"/>
  <c r="G92" i="15"/>
  <c r="F92" i="15"/>
  <c r="G91" i="15"/>
  <c r="F91" i="15"/>
  <c r="G89" i="15"/>
  <c r="F89" i="15"/>
  <c r="G88" i="15"/>
  <c r="F88" i="15"/>
  <c r="E88" i="15"/>
  <c r="D88" i="15"/>
  <c r="E108" i="14"/>
  <c r="D108" i="14"/>
  <c r="G107" i="14"/>
  <c r="F107" i="14"/>
  <c r="G106" i="14"/>
  <c r="F106" i="14"/>
  <c r="G105" i="14"/>
  <c r="F105" i="14"/>
  <c r="G104" i="14"/>
  <c r="F104" i="14"/>
  <c r="G102" i="14"/>
  <c r="E101" i="14"/>
  <c r="D101" i="14"/>
  <c r="G100" i="14"/>
  <c r="F100" i="14"/>
  <c r="G99" i="14"/>
  <c r="G98" i="14"/>
  <c r="F98" i="14"/>
  <c r="G97" i="14"/>
  <c r="F97" i="14"/>
  <c r="G95" i="14"/>
  <c r="E94" i="14"/>
  <c r="D94" i="14"/>
  <c r="G93" i="14"/>
  <c r="F93" i="14"/>
  <c r="G92" i="14"/>
  <c r="F92" i="14"/>
  <c r="G91" i="14"/>
  <c r="G90" i="14"/>
  <c r="F90" i="14"/>
  <c r="G88" i="14"/>
  <c r="G87" i="14"/>
  <c r="F87" i="14"/>
  <c r="E87" i="14"/>
  <c r="E30" i="14"/>
  <c r="E99" i="13"/>
  <c r="D99" i="13"/>
  <c r="G98" i="13"/>
  <c r="F98" i="13"/>
  <c r="G97" i="13"/>
  <c r="F97" i="13"/>
  <c r="G95" i="13"/>
  <c r="F95" i="13"/>
  <c r="E94" i="13"/>
  <c r="D94" i="13"/>
  <c r="G93" i="13"/>
  <c r="F93" i="13"/>
  <c r="G92" i="13"/>
  <c r="F92" i="13"/>
  <c r="G90" i="13"/>
  <c r="F90" i="13"/>
  <c r="F91" i="17" l="1"/>
  <c r="F101" i="17"/>
  <c r="F94" i="13"/>
  <c r="G91" i="17"/>
  <c r="G91" i="18"/>
  <c r="F99" i="13"/>
  <c r="G94" i="14"/>
  <c r="G95" i="15"/>
  <c r="F91" i="18"/>
  <c r="G96" i="18"/>
  <c r="F96" i="18" s="1"/>
  <c r="F94" i="14"/>
  <c r="F102" i="15"/>
  <c r="F95" i="15"/>
  <c r="G109" i="15"/>
  <c r="F109" i="15" s="1"/>
  <c r="F108" i="14"/>
  <c r="G108" i="14"/>
  <c r="G102" i="15"/>
  <c r="F101" i="14"/>
  <c r="G101" i="14"/>
  <c r="F96" i="17"/>
  <c r="G99" i="13"/>
  <c r="E96" i="18"/>
  <c r="G96" i="17"/>
  <c r="G94" i="13"/>
  <c r="G101" i="17"/>
  <c r="E89" i="13"/>
  <c r="D89" i="13"/>
  <c r="G88" i="13"/>
  <c r="F88" i="13"/>
  <c r="G87" i="13"/>
  <c r="F87" i="13"/>
  <c r="G85" i="13"/>
  <c r="F85" i="13"/>
  <c r="G84" i="13"/>
  <c r="F84" i="13"/>
  <c r="E84" i="13"/>
  <c r="D84" i="13"/>
  <c r="E105" i="12"/>
  <c r="D105" i="12"/>
  <c r="G104" i="12"/>
  <c r="G103" i="12"/>
  <c r="G102" i="12"/>
  <c r="F102" i="12"/>
  <c r="G100" i="12"/>
  <c r="G89" i="13" l="1"/>
  <c r="F89" i="13"/>
  <c r="G105" i="12"/>
  <c r="F105" i="12" s="1"/>
  <c r="F99" i="12"/>
  <c r="E99" i="12"/>
  <c r="D99" i="12"/>
  <c r="G98" i="12"/>
  <c r="G97" i="12"/>
  <c r="G96" i="12"/>
  <c r="G94" i="12"/>
  <c r="F93" i="12"/>
  <c r="E93" i="12"/>
  <c r="D93" i="12"/>
  <c r="G92" i="12"/>
  <c r="G91" i="12"/>
  <c r="G90" i="12"/>
  <c r="G88" i="12"/>
  <c r="G87" i="12"/>
  <c r="F87" i="12"/>
  <c r="E87" i="12"/>
  <c r="D87" i="12"/>
  <c r="E102" i="11"/>
  <c r="D102" i="11"/>
  <c r="G100" i="11"/>
  <c r="F100" i="11"/>
  <c r="G98" i="11"/>
  <c r="F98" i="11"/>
  <c r="E97" i="11"/>
  <c r="D97" i="11"/>
  <c r="G95" i="11"/>
  <c r="F95" i="11"/>
  <c r="G93" i="11"/>
  <c r="F93" i="11"/>
  <c r="E92" i="11"/>
  <c r="D92" i="11"/>
  <c r="G90" i="11"/>
  <c r="F90" i="11"/>
  <c r="G88" i="11"/>
  <c r="F88" i="11"/>
  <c r="G87" i="11"/>
  <c r="F87" i="11"/>
  <c r="E87" i="11"/>
  <c r="D87" i="11"/>
  <c r="E104" i="10"/>
  <c r="D104" i="10"/>
  <c r="G103" i="10"/>
  <c r="F103" i="10"/>
  <c r="G102" i="10"/>
  <c r="F102" i="10"/>
  <c r="F101" i="10"/>
  <c r="F99" i="10"/>
  <c r="E98" i="10"/>
  <c r="D98" i="10"/>
  <c r="G97" i="10"/>
  <c r="F97" i="10"/>
  <c r="G96" i="10"/>
  <c r="F96" i="10"/>
  <c r="F95" i="10"/>
  <c r="F93" i="10"/>
  <c r="E92" i="10"/>
  <c r="D92" i="10"/>
  <c r="G91" i="10"/>
  <c r="F91" i="10"/>
  <c r="G90" i="10"/>
  <c r="F90" i="10"/>
  <c r="G89" i="10"/>
  <c r="F89" i="10"/>
  <c r="F87" i="10"/>
  <c r="G86" i="10"/>
  <c r="F86" i="10"/>
  <c r="E86" i="10"/>
  <c r="D86" i="10"/>
  <c r="F92" i="9"/>
  <c r="F89" i="9"/>
  <c r="F86" i="9"/>
  <c r="G92" i="8"/>
  <c r="G89" i="8"/>
  <c r="G86" i="8"/>
  <c r="E102" i="7"/>
  <c r="G101" i="7"/>
  <c r="G100" i="7"/>
  <c r="G98" i="7"/>
  <c r="E97" i="7"/>
  <c r="G96" i="7"/>
  <c r="G95" i="7"/>
  <c r="G93" i="7"/>
  <c r="E92" i="7"/>
  <c r="G91" i="7"/>
  <c r="G90" i="7"/>
  <c r="G88" i="7"/>
  <c r="E87" i="7"/>
  <c r="E102" i="6"/>
  <c r="G101" i="6"/>
  <c r="G100" i="6"/>
  <c r="G98" i="6"/>
  <c r="E97" i="6"/>
  <c r="G96" i="6"/>
  <c r="G95" i="6"/>
  <c r="G93" i="6"/>
  <c r="E92" i="6"/>
  <c r="G91" i="6"/>
  <c r="G90" i="6"/>
  <c r="G88" i="6"/>
  <c r="G87" i="6"/>
  <c r="E87" i="6"/>
  <c r="E107" i="5"/>
  <c r="G106" i="5"/>
  <c r="G104" i="5"/>
  <c r="G102" i="5"/>
  <c r="E101" i="5"/>
  <c r="G100" i="5"/>
  <c r="G98" i="5"/>
  <c r="G96" i="5"/>
  <c r="E95" i="5"/>
  <c r="G94" i="5"/>
  <c r="G92" i="5"/>
  <c r="G90" i="5"/>
  <c r="E89" i="5"/>
  <c r="G91" i="4"/>
  <c r="G88" i="4"/>
  <c r="G85" i="4"/>
  <c r="G92" i="6" l="1"/>
  <c r="G102" i="6"/>
  <c r="F92" i="10"/>
  <c r="F104" i="10"/>
  <c r="G99" i="12"/>
  <c r="G104" i="10"/>
  <c r="F98" i="10"/>
  <c r="G92" i="10"/>
  <c r="G93" i="12"/>
  <c r="G97" i="6"/>
  <c r="G97" i="11"/>
  <c r="F97" i="11" s="1"/>
  <c r="G98" i="10"/>
  <c r="G92" i="11"/>
  <c r="F92" i="11" s="1"/>
  <c r="G102" i="11"/>
  <c r="F10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63" authorId="0" shapeId="0" xr:uid="{00000000-0006-0000-4A00-000001000000}">
      <text>
        <r>
          <rPr>
            <b/>
            <sz val="9"/>
            <color indexed="81"/>
            <rFont val="Tahoma"/>
            <family val="2"/>
          </rPr>
          <t>Author:</t>
        </r>
        <r>
          <rPr>
            <sz val="9"/>
            <color indexed="81"/>
            <rFont val="Tahoma"/>
            <family val="2"/>
          </rPr>
          <t xml:space="preserve">
07-Nov-2023</t>
        </r>
      </text>
    </comment>
  </commentList>
</comments>
</file>

<file path=xl/sharedStrings.xml><?xml version="1.0" encoding="utf-8"?>
<sst xmlns="http://schemas.openxmlformats.org/spreadsheetml/2006/main" count="12783" uniqueCount="1650">
  <si>
    <t>A. For Equity Issues</t>
  </si>
  <si>
    <t>Sr. No.</t>
  </si>
  <si>
    <t>Name of the issue:</t>
  </si>
  <si>
    <t>Type of  issue</t>
  </si>
  <si>
    <t>Initial Public Offering (IPO) on SME Platform</t>
  </si>
  <si>
    <t>Source: Prospectus of the Company</t>
  </si>
  <si>
    <t>Issue size</t>
  </si>
  <si>
    <t>Grade of issue alongwith name of the rating agency</t>
  </si>
  <si>
    <t>Since the issue is being made in terms of Chapter XB of the SEBI (ICDR) Regulations, there is no requirement of appointing a IPO Grading agency.</t>
  </si>
  <si>
    <t>Subscription level (number of times)*</t>
  </si>
  <si>
    <t>As per finalised Basis of Allotment.</t>
  </si>
  <si>
    <t>QIB holding (as a % of total outstanding capital) as disclosed to stock exchanges (See Regulation 31 of the SEBI (Listing Obligations &amp; Disclosure Requiremens) , 2015</t>
  </si>
  <si>
    <t>(i) allotment in the issue</t>
  </si>
  <si>
    <t>Nil</t>
  </si>
  <si>
    <t xml:space="preserve">(iii) at the end of 1st FY </t>
  </si>
  <si>
    <t xml:space="preserve">(iv) at the end of 2nd FY </t>
  </si>
  <si>
    <t xml:space="preserve">(v) at the end of 3rd FY </t>
  </si>
  <si>
    <t>Source: BSE</t>
  </si>
  <si>
    <t>Financials of the issuer (as per the annual financial results submitted to stock exchange in Regulation 33 of the SEBI (Listing Obligations &amp; Disclosure Requiremens) , 2015</t>
  </si>
  <si>
    <t>(Rs. in lakhs)</t>
  </si>
  <si>
    <t>Parameters</t>
  </si>
  <si>
    <t>1st FY * (2015-16)</t>
  </si>
  <si>
    <t xml:space="preserve">2nd FY </t>
  </si>
  <si>
    <t xml:space="preserve">3rd FY </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</si>
  <si>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</si>
  <si>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</si>
  <si>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</si>
  <si>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</si>
  <si>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</si>
  <si>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</si>
  <si>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Frequently Traded</t>
  </si>
  <si>
    <t xml:space="preserve">(ii) at the end of 2nd FY </t>
  </si>
  <si>
    <t xml:space="preserve">(iii) at the end of 3rd FY </t>
  </si>
  <si>
    <t>Change, if any, in directors of issuer from the disclosures in the offer document (See Regulation 68 and Schedule III of the SEBI (Listing Obligations &amp; Disclosure Requiremens) , 2015</t>
  </si>
  <si>
    <t>(i) at the end of 1st F.Y.</t>
  </si>
  <si>
    <t>Source;MCA Portal &amp; Information provided by the Company.</t>
  </si>
  <si>
    <t>Status of implementation of project/ commencement of commercial production (as submitted to stock exchanges under Regulation 32 of the SEBI (Listing Obligations &amp; Disclosure Requiremens) , 2015</t>
  </si>
  <si>
    <t>Activity</t>
  </si>
  <si>
    <t>(i) as disclosed in the offer document</t>
  </si>
  <si>
    <t>(ii) Actual implementation #</t>
  </si>
  <si>
    <t>(iii) Reasons for delay in implementation, if any #</t>
  </si>
  <si>
    <t>N.A.</t>
  </si>
  <si>
    <t>Status of utilization of issue proceeds (as submitted to stock exchanges under Regulation 32 of the SEBI (Listing Obligations &amp; Disclosure Requiremens) , 2015                                                                                                                                                                                                         (Rs. In Lakhs)</t>
  </si>
  <si>
    <t>(i) as disclosed in the offer document: Fund Requirements</t>
  </si>
  <si>
    <t>(ii) Actual utilization</t>
  </si>
  <si>
    <t>(iii) Reasons for deviation, if any:</t>
  </si>
  <si>
    <t>not applicable</t>
  </si>
  <si>
    <t xml:space="preserve">                </t>
  </si>
  <si>
    <t>Source:  Prospectus and Information provided by the Company</t>
  </si>
  <si>
    <t>Comments of monitoring agency</t>
  </si>
  <si>
    <t>Not Applicable as the issue size was less than Rs. 500 crores</t>
  </si>
  <si>
    <t xml:space="preserve">Price- related data </t>
  </si>
  <si>
    <t>Issue price (Rs):</t>
  </si>
  <si>
    <t>Price parameters</t>
  </si>
  <si>
    <t xml:space="preserve">As at the end of 1st FY after the listing of the issue </t>
  </si>
  <si>
    <t xml:space="preserve">As at the end of 2nd FY after the listing of the issue </t>
  </si>
  <si>
    <t xml:space="preserve">As at the end of 3rd FY after the listing of the issue </t>
  </si>
  <si>
    <t xml:space="preserve">Closing price </t>
  </si>
  <si>
    <t>High (during the FY)</t>
  </si>
  <si>
    <t>Low (during the FY)</t>
  </si>
  <si>
    <t>Closing price</t>
  </si>
  <si>
    <t>Market Price (BSE)</t>
  </si>
  <si>
    <t>Index (of the Designated Stock Exchange): BSE Sensex</t>
  </si>
  <si>
    <t>*30th calendar day has been taken as listing date plus 29 calendar days.</t>
  </si>
  <si>
    <t>** 90th calendar day  has been taken as listing date plus 89 calendar days.</t>
  </si>
  <si>
    <t>2. Where the 30th day / 90th day / March 31 of a particular year falls on the day when there is no trade in equity share of the Company , preeceding trading day has been considered.</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</si>
  <si>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</si>
  <si>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</si>
  <si>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</si>
  <si>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As disclosed in the offer document (See Clause (2) (VII) (K) of Schedule VIII to SEBI (ICDR) Regulations, 2009) *</t>
  </si>
  <si>
    <t>At the end of 1st FY  (2015-16)</t>
  </si>
  <si>
    <t xml:space="preserve">At the end of 2nd FY </t>
  </si>
  <si>
    <t>EPS (Basic &amp; before Extraordinary Items )</t>
  </si>
  <si>
    <t>Peer Group:</t>
  </si>
  <si>
    <t>Industry Avg:</t>
  </si>
  <si>
    <t>P/E</t>
  </si>
  <si>
    <t>RoNW (%)</t>
  </si>
  <si>
    <t>NAV per share based on balance sheet</t>
  </si>
  <si>
    <t>Any other material information</t>
  </si>
  <si>
    <t>None</t>
  </si>
  <si>
    <r>
      <rPr>
        <b/>
        <i/>
        <sz val="10"/>
        <rFont val="Times New Roman"/>
        <family val="1"/>
      </rPr>
      <t>Note:</t>
    </r>
    <r>
      <rPr>
        <i/>
        <sz val="10"/>
        <rFont val="Times New Roman"/>
        <family val="1"/>
      </rPr>
      <t xml:space="preserve"> 1. Where the 30th day / 90th day / March 31 of a particular year falls on a BSE trading holiday, the immediately following trading day has been considered.</t>
    </r>
  </si>
  <si>
    <t>At the end of 3rd FY (2017-18)</t>
  </si>
  <si>
    <t>--</t>
  </si>
  <si>
    <t>NA</t>
  </si>
  <si>
    <t>-</t>
  </si>
  <si>
    <t>Note : Industry average has been calculated by taking the average of peer group companies.</t>
  </si>
  <si>
    <t>Rs.324 lakhs</t>
  </si>
  <si>
    <t>1st FY *(2015-16)</t>
  </si>
  <si>
    <t>At the end of 1st FY (2015-16)</t>
  </si>
  <si>
    <t>Emkay Taps and Cutting Tools  Limited</t>
  </si>
  <si>
    <t>Initial Public Offering (IPO) on SME Platform on NSE limited</t>
  </si>
  <si>
    <t>Rs 1554.96 lakhs</t>
  </si>
  <si>
    <t>1.36 Times</t>
  </si>
  <si>
    <t>(ii) at the end of the 1st Quarter immediately after the listing of the issue (December 31, 2015)</t>
  </si>
  <si>
    <t>Source: NSE</t>
  </si>
  <si>
    <t>*As per the Company's Standalone Audited Financials of the Company-NSE</t>
  </si>
  <si>
    <t>Rahul Ramesh Bagdia and Mahesh Ishwardas Mor was appointed as Director w.e. f April 8, 2015; Ravindra Mahesh Lohiya was appointed as Director w.e.f  April 24, 2015.</t>
  </si>
  <si>
    <t>Since the Issue was an Offer for Sale, there were no objects against which the proceeds were to be utilized</t>
  </si>
  <si>
    <t># Since the company's share were listed on August 13, 2015 hence the same will be soon updated</t>
  </si>
  <si>
    <t>Rs. 330/-</t>
  </si>
  <si>
    <t>At close of listing day (August 13, 2015)</t>
  </si>
  <si>
    <t>At close of 30th calendar day from listing day (September 11 , 2015)</t>
  </si>
  <si>
    <t>At close of 90th calendar day from listing day (November 10, 2015)</t>
  </si>
  <si>
    <t>Market Price (NSE)</t>
  </si>
  <si>
    <t>Index (of the Designated Stock Exchange): CNX Nifty/ Nifty 50</t>
  </si>
  <si>
    <t># NSE does not have any sectoral index for the Machine Tools Industrial sector</t>
  </si>
  <si>
    <r>
      <rPr>
        <b/>
        <i/>
        <sz val="10"/>
        <rFont val="Times New Roman"/>
        <family val="1"/>
      </rPr>
      <t>Note:</t>
    </r>
    <r>
      <rPr>
        <i/>
        <sz val="10"/>
        <rFont val="Times New Roman"/>
        <family val="1"/>
      </rPr>
      <t xml:space="preserve"> 1. Where the 30th day / 90th day / March 31 of a particular year falls on a NSE trading holiday, the immediately following trading day has been considered.</t>
    </r>
  </si>
  <si>
    <t xml:space="preserve">At the end of 3rd FY </t>
  </si>
  <si>
    <r>
      <t xml:space="preserve">Issuer: </t>
    </r>
    <r>
      <rPr>
        <sz val="10"/>
        <rFont val="Times New Roman"/>
        <family val="1"/>
      </rPr>
      <t>Emkay Taps and Cutting Tools Limited</t>
    </r>
    <r>
      <rPr>
        <b/>
        <sz val="10"/>
        <rFont val="Times New Roman"/>
        <family val="1"/>
      </rPr>
      <t xml:space="preserve"> **</t>
    </r>
  </si>
  <si>
    <t>Peer Group:*</t>
  </si>
  <si>
    <t>* there exists no peer group as stated in the prospectus</t>
  </si>
  <si>
    <t>**Source:  Prospectus dated July 20, 2015 - based on restated summary statement for ten months ended on January, 2015.</t>
  </si>
  <si>
    <t>Note: Since the company's share were listed on August 13, 2015 , we are considering March 31, 2016 as the 1st Financial Year.</t>
  </si>
  <si>
    <t>Universal Autofoundry Limited</t>
  </si>
  <si>
    <t>3.18 times</t>
  </si>
  <si>
    <t>*As per the Company's Standalone Audited Financias- BSE</t>
  </si>
  <si>
    <t>Aditi Jain was appointed as Additional Director w.e.f  July 10, 2015</t>
  </si>
  <si>
    <t>Expansion of Manufacturing Facilities
General Corporate Purpose
Issue Expenses.</t>
  </si>
  <si>
    <t xml:space="preserve">I Expansion of Manufacturing Facilities :272 .75 .Lacs
II General Corporate Purpose : 16.25 Lacs                  III. Issue Expenses : 35 Lacs                      </t>
  </si>
  <si>
    <t>Rs. 324 Lacs</t>
  </si>
  <si>
    <t># As per the Information provided by the Company.</t>
  </si>
  <si>
    <t>Expansion of Manufacturing Facilities    :  Rs.272.75 lakhs</t>
  </si>
  <si>
    <t>General Corporate Purpose: Rs. 16.25 Lacs</t>
  </si>
  <si>
    <t xml:space="preserve"> Public Issue Expenses  : Rs. 35 lakhs</t>
  </si>
  <si>
    <t>Rs. 15/-</t>
  </si>
  <si>
    <t>At close of listing day (September 04, 2015)</t>
  </si>
  <si>
    <t>At close of 30th calendar day from listing day (October 05, 2015)</t>
  </si>
  <si>
    <t>At close of 90th calendar day from listing day (December 02, 2015)</t>
  </si>
  <si>
    <t xml:space="preserve">SME IPO Index </t>
  </si>
  <si>
    <t># BSE does not have any sectoral index for the Auto Parts &amp; Equipment sector</t>
  </si>
  <si>
    <t xml:space="preserve">At the end of 3rd FY (2017-18) </t>
  </si>
  <si>
    <r>
      <t xml:space="preserve">Issuer: </t>
    </r>
    <r>
      <rPr>
        <sz val="10"/>
        <rFont val="Times New Roman"/>
        <family val="1"/>
      </rPr>
      <t>Universal Autofoundry Limited</t>
    </r>
    <r>
      <rPr>
        <b/>
        <sz val="10"/>
        <rFont val="Times New Roman"/>
        <family val="1"/>
      </rPr>
      <t xml:space="preserve"> **</t>
    </r>
  </si>
  <si>
    <t xml:space="preserve">Nelcast Limited </t>
  </si>
  <si>
    <t>Amtek Auto</t>
  </si>
  <si>
    <t>--`</t>
  </si>
  <si>
    <t xml:space="preserve">Magna Electrocast Limited </t>
  </si>
  <si>
    <r>
      <t xml:space="preserve">Issuer: </t>
    </r>
    <r>
      <rPr>
        <sz val="10"/>
        <rFont val="Times New Roman"/>
        <family val="1"/>
      </rPr>
      <t>Universal Autofoundry Limited</t>
    </r>
    <r>
      <rPr>
        <b/>
        <sz val="10"/>
        <rFont val="Times New Roman"/>
        <family val="1"/>
      </rPr>
      <t>**</t>
    </r>
  </si>
  <si>
    <t xml:space="preserve">**Source:  Prospectus dated August 06, 2015 - based on restated summary statement for the financial year 2014-15.
</t>
  </si>
  <si>
    <t>` Negative EPS as per Company's Standalone Audited Financials.</t>
  </si>
  <si>
    <t>Note: Since the company's share were listed on September 04, 2015 , we are considering March 31, 2016 as the 1st Financial Year.</t>
  </si>
  <si>
    <t>Bella Casa Fashion and Retail Limited</t>
  </si>
  <si>
    <t>Rs.343 lakhs</t>
  </si>
  <si>
    <t>1.63 Times</t>
  </si>
  <si>
    <t>*As per Company's Standalone Audited Financials-BSE</t>
  </si>
  <si>
    <t>Source; BSE</t>
  </si>
  <si>
    <t>Gunjain Jain  and Kalpana Juneja was appointed as Director w.e.f  July 15, 2015 ; Vikas Mathur  was appointed as Director w.e.f July 31, 2015</t>
  </si>
  <si>
    <t>Working Capital Requirement
Issue Expenses.</t>
  </si>
  <si>
    <t xml:space="preserve">I Working Capital Requirements : 303 .Lacs
II Issue Expenses  40 Lacs                  </t>
  </si>
  <si>
    <t>Rs 343 Lacs</t>
  </si>
  <si>
    <t>#As per the Information provided by the Company.</t>
  </si>
  <si>
    <t>Working Capital Requirement   :  Rs.303 lakhs</t>
  </si>
  <si>
    <t>Issue Expenses: Rs. 40 Lacs</t>
  </si>
  <si>
    <t>Rs. 343 Lacs</t>
  </si>
  <si>
    <t>Rs. 14/-</t>
  </si>
  <si>
    <t>At close of listing day (October 15, 2015)</t>
  </si>
  <si>
    <t>At close of 30th calendar day from listing day (November 13, 2015)</t>
  </si>
  <si>
    <t>At close of 90th calendar day from listing day (January 12, 2016)</t>
  </si>
  <si>
    <t>SME IPO Index</t>
  </si>
  <si>
    <t># BSE does not have any sectoral index for the Textile sector.</t>
  </si>
  <si>
    <r>
      <t xml:space="preserve">Issuer: </t>
    </r>
    <r>
      <rPr>
        <sz val="10"/>
        <rFont val="Times New Roman"/>
        <family val="1"/>
      </rPr>
      <t>Bella Casa Fashion and Retail</t>
    </r>
    <r>
      <rPr>
        <b/>
        <sz val="10"/>
        <rFont val="Times New Roman"/>
        <family val="1"/>
      </rPr>
      <t xml:space="preserve"> </t>
    </r>
    <r>
      <rPr>
        <sz val="10"/>
        <rFont val="Times New Roman"/>
        <family val="1"/>
      </rPr>
      <t>Limited</t>
    </r>
    <r>
      <rPr>
        <b/>
        <sz val="10"/>
        <rFont val="Times New Roman"/>
        <family val="1"/>
      </rPr>
      <t xml:space="preserve"> **</t>
    </r>
  </si>
  <si>
    <t xml:space="preserve">Ashapura Intimates Fashion  </t>
  </si>
  <si>
    <t xml:space="preserve"> Kewal Kiran Clothing </t>
  </si>
  <si>
    <t xml:space="preserve">**Source:  Prospectus dated September 15, 2015 - based on restated summary statement for the financial year 2014-15.
</t>
  </si>
  <si>
    <t>Note: Since the company's share were listed on October 15, 2015 , we are considering March 31, 2016 as the 1st Financial Year.</t>
  </si>
  <si>
    <t>Vishal Bearings Limited</t>
  </si>
  <si>
    <t>1.20 times</t>
  </si>
  <si>
    <t>*As per the Company's Standalone Audited Financials -BSE</t>
  </si>
  <si>
    <t>Nitesh Kumar Jamnadas, Urja Bhupendrabhai Ghetiya &amp; Rakesh Kanji Bhai Samani were appointed as Director w.e.f May 28, 2015;</t>
  </si>
  <si>
    <t xml:space="preserve">(ii) Actual implementation </t>
  </si>
  <si>
    <t xml:space="preserve">I Working Capital Requirements : 286 .Lacs
II Issue Expenses  38 Lacs                  </t>
  </si>
  <si>
    <t>#As per the information provided by the Company</t>
  </si>
  <si>
    <t>Working Capital Requirement   :  Rs.286 lakhs</t>
  </si>
  <si>
    <t>Issue Expenses: Rs. 38 Lacs</t>
  </si>
  <si>
    <t>Rs. 25/-</t>
  </si>
  <si>
    <t># BSE does not have any sectoral index for the Industrial Machinery sector</t>
  </si>
  <si>
    <r>
      <t xml:space="preserve">Issuer: </t>
    </r>
    <r>
      <rPr>
        <sz val="10"/>
        <rFont val="Times New Roman"/>
        <family val="1"/>
      </rPr>
      <t>Vishal Bearings</t>
    </r>
    <r>
      <rPr>
        <b/>
        <sz val="10"/>
        <rFont val="Times New Roman"/>
        <family val="1"/>
      </rPr>
      <t xml:space="preserve"> </t>
    </r>
    <r>
      <rPr>
        <sz val="10"/>
        <rFont val="Times New Roman"/>
        <family val="1"/>
      </rPr>
      <t>Limited</t>
    </r>
    <r>
      <rPr>
        <b/>
        <sz val="10"/>
        <rFont val="Times New Roman"/>
        <family val="1"/>
      </rPr>
      <t xml:space="preserve"> **</t>
    </r>
  </si>
  <si>
    <t>Menon Bearings</t>
  </si>
  <si>
    <t xml:space="preserve">ABC Bearings </t>
  </si>
  <si>
    <t xml:space="preserve">**Source:  Prospectus dated September 16, 2015 - based on restated summary statement for the financial year 2014-15.
</t>
  </si>
  <si>
    <t xml:space="preserve">Arambhan Hospitality Services Limited (Formerly known as Cawasji Behramji Catering Services Limited) </t>
  </si>
  <si>
    <t>Rs.186.20 lakhs</t>
  </si>
  <si>
    <t>2.05 times</t>
  </si>
  <si>
    <t>*As per Company's Standalone Audited Financial Results for the year ended on March 31, 2016-BSE</t>
  </si>
  <si>
    <t>Frequently traded</t>
  </si>
  <si>
    <t>Abhijit Arvind Pradhan &amp; John Philipose was appointed as director w.e.f  April 27, 2015; Shashank Suresh More was appointed as Director w.e.f  June 12, 2015; Pooja Alfred Arambhan and Yateen Madhukar Chodnekar was appointed as director w.e.f Januaray 1, 2016; Aarathi Alfred Arambhan ceased to be director w.e.f. March 31, 2016</t>
  </si>
  <si>
    <t># Since the company's share were listed on October  19 , 2015 hence the same will be soon updated</t>
  </si>
  <si>
    <t>#</t>
  </si>
  <si>
    <t># Since the company's share were listed on October 19, 2015 hence the same will be soon updated</t>
  </si>
  <si>
    <t>At close of listing day (October 19, 2015)</t>
  </si>
  <si>
    <t>At close of 30th calendar day from listing day (November 17, 2015)</t>
  </si>
  <si>
    <t>At close of 90th calendar day from listing day (January 16, 2015)</t>
  </si>
  <si>
    <t># BSE does not have any sectoral index for the Food Services Industrial sector</t>
  </si>
  <si>
    <r>
      <t xml:space="preserve">Issuer: </t>
    </r>
    <r>
      <rPr>
        <sz val="10"/>
        <rFont val="Times New Roman"/>
        <family val="1"/>
      </rPr>
      <t>Cawasji Behramji Catering Services Limited</t>
    </r>
    <r>
      <rPr>
        <b/>
        <sz val="10"/>
        <rFont val="Times New Roman"/>
        <family val="1"/>
      </rPr>
      <t xml:space="preserve"> **</t>
    </r>
  </si>
  <si>
    <t>Incorporation of Wholly owned offshore subsidiary in Dubai w.e.f November 11, 2015</t>
  </si>
  <si>
    <t>Name of the Company was Changed to Arambhan Hospitality Services Limited</t>
  </si>
  <si>
    <t>Note: Since the company's share were listed on October 19, 2015 , we are considering March 31, 2016 as the 1st Financial Year.</t>
  </si>
  <si>
    <t>Raghav Ramming Mass Limited</t>
  </si>
  <si>
    <t>Initial Public Offering (IPO) on SME Platform on BSE limited</t>
  </si>
  <si>
    <t>Rs 748.80 lakhs</t>
  </si>
  <si>
    <t>1.37 Times</t>
  </si>
  <si>
    <t>(ii) at the end of the 1st Quarter immediately after the listing of the issue (June 30, 2016)</t>
  </si>
  <si>
    <t>will be updated at the end of 3rd F.Y.</t>
  </si>
  <si>
    <t>1st FY *</t>
  </si>
  <si>
    <t>will be                                                 updated at                                            the end of                                               3rd F.Y.</t>
  </si>
  <si>
    <t>*BSE Ltd.</t>
  </si>
  <si>
    <t>Appointment of Rajesh Malhotra as Director 17/10/2016</t>
  </si>
  <si>
    <t xml:space="preserve">(iii) Reasons for delay in implementation, if any </t>
  </si>
  <si>
    <t>To meet working Capital Requirement                                       Issue expenses</t>
  </si>
  <si>
    <t>1. Working Capital Requirement-720.80 Lacs                                 2. Issue Expenses- 28 Lacs</t>
  </si>
  <si>
    <t># Since the company's share were listed on April 13, 2016 hence the same will be soon updated</t>
  </si>
  <si>
    <t>Working Cpital Requirements: 720.80; Public Issue Expenses: 28</t>
  </si>
  <si>
    <t># Since the company's share were listed on April13, 2016 hence the same will be soon updated</t>
  </si>
  <si>
    <t>Rs.39/-</t>
  </si>
  <si>
    <t>At close of listing day (April 13, 2016)</t>
  </si>
  <si>
    <t>At close of 30th calendar day from listing day (May 13, 2016)</t>
  </si>
  <si>
    <t>At close of 90th calendar day from listing day (July 12, 2016)</t>
  </si>
  <si>
    <t>Index (of the Designated Stock Exchange): BSE SENSEX</t>
  </si>
  <si>
    <t># BSE does not have any sectoral index for the Mining sector</t>
  </si>
  <si>
    <t xml:space="preserve">At the end of 1st FY </t>
  </si>
  <si>
    <r>
      <t xml:space="preserve">Issuer: </t>
    </r>
    <r>
      <rPr>
        <sz val="10"/>
        <rFont val="Times New Roman"/>
        <family val="1"/>
      </rPr>
      <t>Raghav Ramming Mass Limited</t>
    </r>
    <r>
      <rPr>
        <b/>
        <sz val="10"/>
        <rFont val="Times New Roman"/>
        <family val="1"/>
      </rPr>
      <t xml:space="preserve"> **</t>
    </r>
  </si>
  <si>
    <t xml:space="preserve">Will be                              updated at                             the end                                      of 3rd F.Y. </t>
  </si>
  <si>
    <t>**Source:  Prospectus dated march 14 2016 - based on restated summary statement for six months ended on September, 2015.</t>
  </si>
  <si>
    <t>Name of the Company was changed to Raghav  Productivity Enhancers Limited</t>
  </si>
  <si>
    <t>Note: Since the company's share were listed on April 13, 2016 , we are considering March 31, 2017 as the 1st Financial Year.</t>
  </si>
  <si>
    <t>Madhya Bharat Agro Products Limited</t>
  </si>
  <si>
    <t>Rs 1389.60 lakhs</t>
  </si>
  <si>
    <t>7.38 Times</t>
  </si>
  <si>
    <t>(ii) at the end of the 1st Quarter immediately after the listing of the issue (December 31, 2016)</t>
  </si>
  <si>
    <t>*NSE Ltd.</t>
  </si>
  <si>
    <t>Rs.24/-</t>
  </si>
  <si>
    <t>At close of listing day (September 12, 2016)</t>
  </si>
  <si>
    <t>At close of 30th calendar day from listing day (October12, 2016)</t>
  </si>
  <si>
    <t xml:space="preserve">At close of 90th calendar day from listing day </t>
  </si>
  <si>
    <t># NSE Emerge does not have any sectoral index for the Fertiliser sector</t>
  </si>
  <si>
    <r>
      <t xml:space="preserve">Issuer: </t>
    </r>
    <r>
      <rPr>
        <sz val="10"/>
        <rFont val="Times New Roman"/>
        <family val="1"/>
      </rPr>
      <t>Madhya Bharat Agro Products Limited</t>
    </r>
    <r>
      <rPr>
        <b/>
        <sz val="10"/>
        <rFont val="Times New Roman"/>
        <family val="1"/>
      </rPr>
      <t xml:space="preserve"> **</t>
    </r>
  </si>
  <si>
    <t>Rama Phosphates Limited</t>
  </si>
  <si>
    <t>Khaitan Chemicals &amp; Fertilizers Limited</t>
  </si>
  <si>
    <t>Shree Pushkar Chemicals &amp; Fertilizers Limited</t>
  </si>
  <si>
    <t>**Source:  Prospectus dated August 17, 2016 - based on restated summary statement for year ended on March 31, 2016..</t>
  </si>
  <si>
    <t>Note: Since the company's share were listed on September 12, 2016 , we are considering March 31, 2017 as the 1st Financial Year.</t>
  </si>
  <si>
    <t>Aurangabad Distillery Limited</t>
  </si>
  <si>
    <t>Rs 770  lakhs</t>
  </si>
  <si>
    <t>8.75 Times</t>
  </si>
  <si>
    <t>(ii) at the end of the 1st Quarter immediately after the listing of the issue (January 31, 2017)</t>
  </si>
  <si>
    <t>*Will be upadted once the company makes necessary disclosures on the website of NSE Ltd.</t>
  </si>
  <si>
    <t>Repayment /Prepayment of Secured and Unsecured Loan                                    Issue expenses                                                                           General Corporate Purposes</t>
  </si>
  <si>
    <t>1. Repayment /Prepayment of Secured and Unsecured Loan-589.71 Lacs                                                                                              2. Issue Expenses- 40 Lacs                                                                   3. General Corporate Purposes- 140.29 Lacs</t>
  </si>
  <si>
    <t># Since the company's share were listed on October 17, 2016 hence the same will be soon updated</t>
  </si>
  <si>
    <t>1. Repayment /Prepayment of Secured and Unsecured Loan - 589.71 Lacs                                                                                              2. Issue Expenses- 40 Lacs                                                                                                                                                                          3. General Corporate Purposes- 140.29 Lacs</t>
  </si>
  <si>
    <t>Rs.35/-</t>
  </si>
  <si>
    <t>At close of listing day (October 17, 2016)</t>
  </si>
  <si>
    <t>At close of 30th calendar day from listing day November 16 , 2016)</t>
  </si>
  <si>
    <t>At close of 90th calendar day from listing day January 13, 2017)</t>
  </si>
  <si>
    <t># NSE does not have any sectoral index for the Mining sector</t>
  </si>
  <si>
    <r>
      <t xml:space="preserve">Issuer: </t>
    </r>
    <r>
      <rPr>
        <sz val="10"/>
        <rFont val="Times New Roman"/>
        <family val="1"/>
      </rPr>
      <t>Aurangabad Distillery Limited</t>
    </r>
    <r>
      <rPr>
        <b/>
        <sz val="10"/>
        <rFont val="Times New Roman"/>
        <family val="1"/>
      </rPr>
      <t xml:space="preserve"> **</t>
    </r>
  </si>
  <si>
    <t>Globus Spirit Limited</t>
  </si>
  <si>
    <t>Som Distilleries Limited</t>
  </si>
  <si>
    <t>**Source:  Prospectus dated September 22, 2016 - based on restated summary statement for period ended on March, 2016.</t>
  </si>
  <si>
    <t>Note: Since the company's share were listed on October 17, 2016 , we are considering March 31, 2017 as the 1st Financial Year.</t>
  </si>
  <si>
    <t>Pansari Developers Limited</t>
  </si>
  <si>
    <t>Rs 1019.04 lakhs</t>
  </si>
  <si>
    <t>1.55 Times</t>
  </si>
  <si>
    <t xml:space="preserve">1st FY </t>
  </si>
  <si>
    <t>2nd FY *</t>
  </si>
  <si>
    <t>will be                                                 updated at                                            the end of                                               2nd F.Y.</t>
  </si>
  <si>
    <t>Working Capital Requirement                                                           Issue expenses                                                                           General Corporate Purposes</t>
  </si>
  <si>
    <t>1. Working Capital requirement-900 Lacs                                                                                              2. Issue Expenses- 38 Lacs                                                                   3. General Corporate Purposes- 81.04 Lacs</t>
  </si>
  <si>
    <t># Since the company's share were listed on October 18, 2016 hence the same will be soon updated</t>
  </si>
  <si>
    <t>1. Working Capital requirement-900 Lacs                                                                                                                                                             2. Issue Expenses- 38 Lacs                                                                                                                                                                         3. General Corporate Purposes- 81.04 Lacs</t>
  </si>
  <si>
    <t>Rs.22/-</t>
  </si>
  <si>
    <t>At close of listing day (October 18, 2016)</t>
  </si>
  <si>
    <t xml:space="preserve">At close of 30th calendar day from listing day </t>
  </si>
  <si>
    <r>
      <t xml:space="preserve">Issuer: </t>
    </r>
    <r>
      <rPr>
        <sz val="10"/>
        <rFont val="Times New Roman"/>
        <family val="1"/>
      </rPr>
      <t>Pansari Developers Limited</t>
    </r>
    <r>
      <rPr>
        <b/>
        <sz val="10"/>
        <rFont val="Times New Roman"/>
        <family val="1"/>
      </rPr>
      <t xml:space="preserve"> **</t>
    </r>
  </si>
  <si>
    <t>Sunteck Realty Limited</t>
  </si>
  <si>
    <t>Sri Krishna Construction (India) Limited</t>
  </si>
  <si>
    <t>Ansal Buildwell Limited</t>
  </si>
  <si>
    <t>Note: Since the company's share were listed on October 18, 2016 , we are considering March 31, 2017 as the 1st Financial Year.</t>
  </si>
  <si>
    <t>Globe International Carriers Limited</t>
  </si>
  <si>
    <t>Rs 516.96 lakhs</t>
  </si>
  <si>
    <t>2.08 Times</t>
  </si>
  <si>
    <t xml:space="preserve">Working Capital Requirement                                                           Issue expenses                                                                           </t>
  </si>
  <si>
    <t xml:space="preserve">1. Working Capital requirement-476.91 Lacs                                                                                              2. Issue Expenses- 40.05 Lacs                                                                   </t>
  </si>
  <si>
    <r>
      <rPr>
        <sz val="10"/>
        <color theme="1" tint="4.9989318521683403E-2"/>
        <rFont val="Times New Roman"/>
        <family val="1"/>
      </rPr>
      <t xml:space="preserve">1. Working Capital requirement-476.91 Lacs                                                                                              2. Issue Expenses- 40.05 Lacs       </t>
    </r>
    <r>
      <rPr>
        <b/>
        <sz val="10"/>
        <color theme="1" tint="4.9989318521683403E-2"/>
        <rFont val="Times New Roman"/>
        <family val="1"/>
      </rPr>
      <t xml:space="preserve">                                                            </t>
    </r>
  </si>
  <si>
    <t xml:space="preserve">1. Working Capital requirement-476.91 Lacs                                                                                                                                                 2. Issue Expenses- 40.05 Lacs                                                                   </t>
  </si>
  <si>
    <t>1. Working Capital requirement-476.91 Lacs                                                                                                                                                 2. Issue Expenses- 40.05 Lacs</t>
  </si>
  <si>
    <t>At close of listing day (October 19, 2016)</t>
  </si>
  <si>
    <r>
      <t xml:space="preserve">Issuer: </t>
    </r>
    <r>
      <rPr>
        <sz val="10"/>
        <rFont val="Times New Roman"/>
        <family val="1"/>
      </rPr>
      <t>Globe International Carriers Limited</t>
    </r>
    <r>
      <rPr>
        <b/>
        <sz val="10"/>
        <rFont val="Times New Roman"/>
        <family val="1"/>
      </rPr>
      <t xml:space="preserve"> **</t>
    </r>
  </si>
  <si>
    <t>VRL Logistics Limited</t>
  </si>
  <si>
    <t>Patel Integrated Logistics Limited</t>
  </si>
  <si>
    <t>Note: Since the company's share were listed on October 19, 2016 , we are considering March 31, 2017 as the 1st Financial Year.</t>
  </si>
  <si>
    <t>Dhanuka Realty Limited</t>
  </si>
  <si>
    <t>Rs 422.40 lakhs</t>
  </si>
  <si>
    <t>2.60 Times</t>
  </si>
  <si>
    <t>3rd FY *</t>
  </si>
  <si>
    <t>*Will be updated once the company makes necessary disclosures on the website of NSE Ltd.</t>
  </si>
  <si>
    <t xml:space="preserve">Working Capital Requirement                                                           Issue expenses                                                                          General Corporate Purposes                                                                  </t>
  </si>
  <si>
    <t xml:space="preserve">1. Working Capital requirement-324.04 Lacs                                                                                              2. Issue Expenses- 35 Lacs                                                          3.General corporate Purposes- 63.36 Lacs                                                              </t>
  </si>
  <si>
    <t xml:space="preserve">1. Working Capital requirement-324.04 Lacs                                                                                                                                                2. Issue Expenses- 35 Lacs                                                                                                                                                                   3.General corporate Purposes- 63.36 Lacs                                                              </t>
  </si>
  <si>
    <t>Rs.40/-</t>
  </si>
  <si>
    <t>At the end of 2nd FY `</t>
  </si>
  <si>
    <r>
      <t xml:space="preserve">Issuer: </t>
    </r>
    <r>
      <rPr>
        <sz val="10"/>
        <rFont val="Times New Roman"/>
        <family val="1"/>
      </rPr>
      <t>Dhanuka Realty  Limited</t>
    </r>
    <r>
      <rPr>
        <b/>
        <sz val="10"/>
        <rFont val="Times New Roman"/>
        <family val="1"/>
      </rPr>
      <t xml:space="preserve"> **</t>
    </r>
  </si>
  <si>
    <t>Alpine Housing Limited</t>
  </si>
  <si>
    <t>Sri Krishna Constructions (India) Limited</t>
  </si>
  <si>
    <t>Ashiana Housing Limited</t>
  </si>
  <si>
    <t>` shall be updated as when the Company make the disclosure of same on its website.</t>
  </si>
  <si>
    <t>Art Nirman Limited</t>
  </si>
  <si>
    <t>Rs 501.00 lakhs</t>
  </si>
  <si>
    <t xml:space="preserve">Working Capital Requirement                                                       General Corporate Purposes                                                  Issue expenses                                                                           </t>
  </si>
  <si>
    <t xml:space="preserve">1. Working Capital requirement- 425 Lacs                                     2. General Corporate Purposes- 36 Lacs                                                                                     3. Issue Expenses- 40 Lacs                                                                   </t>
  </si>
  <si>
    <t># Since the company's share were listed on October 19, 2016 hence the same will be soon updated</t>
  </si>
  <si>
    <t xml:space="preserve">1. Working Capital requirement- 425 Lacs                                                                                                                                             2. General Corporate Purposes- 36 Lacs                                                                                                                                                         3. Issue Expenses- 40 Lacs                                                                   </t>
  </si>
  <si>
    <r>
      <t xml:space="preserve">Issuer: </t>
    </r>
    <r>
      <rPr>
        <sz val="10"/>
        <rFont val="Times New Roman"/>
        <family val="1"/>
      </rPr>
      <t>Art Nirman Limited</t>
    </r>
    <r>
      <rPr>
        <b/>
        <sz val="10"/>
        <rFont val="Times New Roman"/>
        <family val="1"/>
      </rPr>
      <t xml:space="preserve"> **</t>
    </r>
  </si>
  <si>
    <t>Godrej Properties Limited</t>
  </si>
  <si>
    <t>Ajmera Realty &amp; Infra (I) Limited</t>
  </si>
  <si>
    <t>**Source:  Prospectus dated September 26, 2016 - based on restated summary statement for period ended on March, 2016.</t>
  </si>
  <si>
    <t>Krishana Phoschem Limited</t>
  </si>
  <si>
    <t>Rs 1972.80 lakhs</t>
  </si>
  <si>
    <t>32.89 Times</t>
  </si>
  <si>
    <t xml:space="preserve">(ii) at the end of the 1st Quarter immediately after the listing of the issue </t>
  </si>
  <si>
    <t>will be updated at the end of 1st F.Y.</t>
  </si>
  <si>
    <t>will be updated at the end of 2nd F.Y.</t>
  </si>
  <si>
    <t>Rs.30/-</t>
  </si>
  <si>
    <t>At close of listing day (February 27, 2017)</t>
  </si>
  <si>
    <t>At close of 90th calendar day from listing day</t>
  </si>
  <si>
    <t xml:space="preserve">At the end of 1st FY (2017-18) </t>
  </si>
  <si>
    <r>
      <t xml:space="preserve">Issuer: </t>
    </r>
    <r>
      <rPr>
        <sz val="10"/>
        <rFont val="Times New Roman"/>
        <family val="1"/>
      </rPr>
      <t>Krishana Phoschem Limited</t>
    </r>
    <r>
      <rPr>
        <b/>
        <sz val="10"/>
        <rFont val="Times New Roman"/>
        <family val="1"/>
      </rPr>
      <t xml:space="preserve"> **</t>
    </r>
  </si>
  <si>
    <t xml:space="preserve">Will be                              updated at                             the end                                      of 2nd F.Y. </t>
  </si>
  <si>
    <t>Aries Agro limited</t>
  </si>
  <si>
    <t>Coromandel International limited</t>
  </si>
  <si>
    <r>
      <t>Issuer: Krishana Phoschem Limited</t>
    </r>
    <r>
      <rPr>
        <b/>
        <sz val="10"/>
        <rFont val="Times New Roman"/>
        <family val="1"/>
      </rPr>
      <t xml:space="preserve"> **</t>
    </r>
  </si>
  <si>
    <t>**Source:  Prospectus dated February 06, 2017 - based on restated summary statement for year ended on November 30, 2016.</t>
  </si>
  <si>
    <t>Note: Since the company's share were listed on February 27, 2017, we are considering March 31, 2018 as the 1st Financial Year.</t>
  </si>
  <si>
    <t>RMC Switchgears Limited</t>
  </si>
  <si>
    <t>Rs 414.72 lakhs (Offer for sale- 207.36 lakhs)</t>
  </si>
  <si>
    <t>19.41 Times</t>
  </si>
  <si>
    <t>(ii) at the end of the 1st Quarter immediately after the listing of the issue (March 31, 2017)</t>
  </si>
  <si>
    <t xml:space="preserve">2nd FY* </t>
  </si>
  <si>
    <t xml:space="preserve">1. Working Capital requirement- 155 Lacs                                     2. General Corporate Purposes- 39.36 Lacs                                                                                     3. Issue Expenses- 13.00 Lacs                                                                   </t>
  </si>
  <si>
    <t>* the issue includes an offer for sale of Rs 207.36 Lakhsby selling shareholders</t>
  </si>
  <si>
    <t xml:space="preserve">1. Working Capital requirement- 155 Lacs
2. General Corporate Purposes- 39.36 Lacs
3. Issue Expenses- 13.00 Lacs                                                                   </t>
  </si>
  <si>
    <t># Since the company's share were listed on March 14, 2017 hence the same will be soon updated</t>
  </si>
  <si>
    <t>Rs.27/-</t>
  </si>
  <si>
    <t>At close of listing day (March 14, 2017)</t>
  </si>
  <si>
    <t>At close of 30th calendar day from listing day</t>
  </si>
  <si>
    <r>
      <t xml:space="preserve">Issuer: </t>
    </r>
    <r>
      <rPr>
        <sz val="10"/>
        <rFont val="Times New Roman"/>
        <family val="1"/>
      </rPr>
      <t>RMC Switchgears Limited</t>
    </r>
    <r>
      <rPr>
        <b/>
        <sz val="10"/>
        <rFont val="Times New Roman"/>
        <family val="1"/>
      </rPr>
      <t xml:space="preserve"> **</t>
    </r>
  </si>
  <si>
    <t>Veto Switchgears and Cables Limited</t>
  </si>
  <si>
    <t>Star Delta Transformers Limited</t>
  </si>
  <si>
    <t>**Source:  Prospectus dated February 20, 2017 - based on restated summary statement for period ended on September 2016.</t>
  </si>
  <si>
    <t>Note: Since the company's share were listed on March 14, 2017, we are considering March 31, 2017 as the 1st Financial Year.</t>
  </si>
  <si>
    <t>Global Education Limited</t>
  </si>
  <si>
    <t>Initial Public Offering (IPO) on SME Platform on NSE limited (Book Built Issue)</t>
  </si>
  <si>
    <t xml:space="preserve">Rs 1024.50 lakhs </t>
  </si>
  <si>
    <t>82.25 Times</t>
  </si>
  <si>
    <t xml:space="preserve">1. Working Capital requirement- 715.50 Lacs                                     2. General Corporate Purposes- 224.90 Lacs                                                                                     3. Issue Expenses- 84.10 Lacs                                                                   </t>
  </si>
  <si>
    <t># Since the company's share were listed on March 02, 2017 hence the same will be soon updated</t>
  </si>
  <si>
    <t xml:space="preserve">1. Working Capital requirement- 715.50 Lacs 
2. General Corporate Purposes- 224.90 Lacs 
3. Issue Expenses- 84.10 Lacs                                                                   </t>
  </si>
  <si>
    <t>Rs.150/-</t>
  </si>
  <si>
    <t>At close of listing day (March 02, 2017)</t>
  </si>
  <si>
    <r>
      <rPr>
        <b/>
        <i/>
        <sz val="10"/>
        <rFont val="Times New Roman"/>
        <family val="1"/>
      </rPr>
      <t>Note:</t>
    </r>
    <r>
      <rPr>
        <i/>
        <sz val="10"/>
        <rFont val="Times New Roman"/>
        <family val="1"/>
      </rPr>
      <t xml:space="preserve"> 1. Where the 30th day / 90th day / March 31 of a particular year falls on a trading holiday, the immediately following trading day has been considered.</t>
    </r>
  </si>
  <si>
    <r>
      <t xml:space="preserve">Issuer: </t>
    </r>
    <r>
      <rPr>
        <sz val="10"/>
        <rFont val="Times New Roman"/>
        <family val="1"/>
      </rPr>
      <t>Global Education Limited</t>
    </r>
    <r>
      <rPr>
        <b/>
        <sz val="10"/>
        <rFont val="Times New Roman"/>
        <family val="1"/>
      </rPr>
      <t xml:space="preserve"> **</t>
    </r>
  </si>
  <si>
    <t>MT Educare</t>
  </si>
  <si>
    <t>Teamlease Services Limited</t>
  </si>
  <si>
    <t>**Source:  Prospectus dated February 22, 2017 - based on restated summary statement for period ended on September 2016.</t>
  </si>
  <si>
    <t>Note: Since the company's share were listed on March 02, 2017, we are considering March 31, 2017 as the 1st Financial Year.</t>
  </si>
  <si>
    <t>Laxmi Cotspin Limited</t>
  </si>
  <si>
    <t xml:space="preserve">Rs 960.00 lakhs </t>
  </si>
  <si>
    <t>5.67Times</t>
  </si>
  <si>
    <t>(ii) at the end of the 1st Quarter immediately after the listing of the issue (June 30, 2017)</t>
  </si>
  <si>
    <t>Rs.20.00/-</t>
  </si>
  <si>
    <t>At close of listing day (March 31, 2017)</t>
  </si>
  <si>
    <r>
      <t xml:space="preserve">Issuer: </t>
    </r>
    <r>
      <rPr>
        <sz val="10"/>
        <rFont val="Times New Roman"/>
        <family val="1"/>
      </rPr>
      <t>Laxmi Cotspin Limited</t>
    </r>
    <r>
      <rPr>
        <b/>
        <sz val="10"/>
        <rFont val="Times New Roman"/>
        <family val="1"/>
      </rPr>
      <t xml:space="preserve"> **</t>
    </r>
  </si>
  <si>
    <t>Nagreeka Exports</t>
  </si>
  <si>
    <t>*Source:  Prospectus dated March 09, 2017 - based on restated summary statement for period ended on March, 2017.</t>
  </si>
  <si>
    <t>Note: Since the company's share were listed on March 31, 2017, we are considering March 31, 2018 as the 1st Financial Year.</t>
  </si>
  <si>
    <t>Dev Information Technology Limited</t>
  </si>
  <si>
    <t>Rs 624.96 lakhs</t>
  </si>
  <si>
    <t>72.06 Times</t>
  </si>
  <si>
    <t>Reserves</t>
  </si>
  <si>
    <t xml:space="preserve">1. Working Capital requirement- 564.96 Lacs                                     2. General Corporate Purposes- 18 Lacs                                                                                     3. Issue Expenses- 42 Lacs                                                                   </t>
  </si>
  <si>
    <t xml:space="preserve">1. Working Capital requirement- 564.96 Lacs
2. General Corporate Purposes- 18 Lacs
3. Issue Expenses- 42 Lacs                                                                   </t>
  </si>
  <si>
    <t>Rs.42/-</t>
  </si>
  <si>
    <t>At close of listing day (April 17, 2017)</t>
  </si>
  <si>
    <t>At the end of 1st FY `</t>
  </si>
  <si>
    <r>
      <t xml:space="preserve">Issuer: </t>
    </r>
    <r>
      <rPr>
        <sz val="10"/>
        <rFont val="Times New Roman"/>
        <family val="1"/>
      </rPr>
      <t>Dev Information Technology Limited</t>
    </r>
    <r>
      <rPr>
        <b/>
        <sz val="10"/>
        <rFont val="Times New Roman"/>
        <family val="1"/>
      </rPr>
      <t xml:space="preserve"> **</t>
    </r>
  </si>
  <si>
    <t>Accelya Kale Solution Limited</t>
  </si>
  <si>
    <t>Axiscades Engineering Technologies Limited</t>
  </si>
  <si>
    <t>8k Miles Software Services limited</t>
  </si>
  <si>
    <t>Cybertech System &amp; Software Limited</t>
  </si>
  <si>
    <t>Mindteck (India) Limited</t>
  </si>
  <si>
    <t>Onward Technologies Limited</t>
  </si>
  <si>
    <t>**Source:  Prospectus dated March 24, 2017 - based on restated summary statement for period ended on March, 2017.</t>
  </si>
  <si>
    <t>Note: Since the company's share were listed on April 17, 2017, we are considering March 31, 2018 as the 1st Financial Year.</t>
  </si>
  <si>
    <t>Vadivarhe Speciality Chemicals Limited</t>
  </si>
  <si>
    <t>Rs 1446.48 lakhs (Offer for sale- 1157.10 lakhs)</t>
  </si>
  <si>
    <t>39.88 Times</t>
  </si>
  <si>
    <t xml:space="preserve">1. Working Capital requirement- 245.38 Lacs                                     2. General Corporate Purposes- 20.00 Lacs                                                                                     3. Issue Expenses- 24.00 Lacs                                                                   </t>
  </si>
  <si>
    <t>*The issue includes an offer for sale of Rs. 1157.10 Lacs by selling shareholders.</t>
  </si>
  <si>
    <t># Since the company's share were listed on June 02, 2017 hence the same will be soon updated</t>
  </si>
  <si>
    <t xml:space="preserve">1. Working Capital requirement- 245.38 Lacs
2. General Corporate Purposes- 20.00 Lacs
3. Issue Expenses- 24.00 Lacs                                                                   </t>
  </si>
  <si>
    <t>At close of listing day (June 02, 2017)</t>
  </si>
  <si>
    <r>
      <t xml:space="preserve">Issuer: </t>
    </r>
    <r>
      <rPr>
        <sz val="10"/>
        <rFont val="Times New Roman"/>
        <family val="1"/>
      </rPr>
      <t>Vadivarhe Speciality Chemicals Limited *</t>
    </r>
    <r>
      <rPr>
        <b/>
        <sz val="10"/>
        <rFont val="Times New Roman"/>
        <family val="1"/>
      </rPr>
      <t>*</t>
    </r>
  </si>
  <si>
    <t>Aarti Industries Limited</t>
  </si>
  <si>
    <t>Alkyl Amines Chemicals Limited</t>
  </si>
  <si>
    <t>Indo Amines Limited</t>
  </si>
  <si>
    <t>Vivimed labs Limited</t>
  </si>
  <si>
    <t>**Source:  Prospectus dated May 15, 2017 - based on restated summary statement for period ended on March, 2017.</t>
  </si>
  <si>
    <t>Note: Since the company's share were listed on June 02, 2017 , we are considering March 31, 2018 as the 1st Financial Year.</t>
  </si>
  <si>
    <t>Globe Textiles (India) Limited</t>
  </si>
  <si>
    <t>Rs 1370.88 lakhs (Offer for sale- 673.2 lakhs)</t>
  </si>
  <si>
    <t>2.48 Times</t>
  </si>
  <si>
    <t xml:space="preserve">1. Working Capital requirement- 630 Lacs                                     2. General Corporate Purposes- 30.08 Lacs                                                                                     3. Issue Expenses- 37.60 Lacs                                                                   </t>
  </si>
  <si>
    <t>*the issue also includes an offer for sale of Rs 673.20 lakhs</t>
  </si>
  <si>
    <t># Since the company's share were listed on June 23, 2017 hence the same will be soon updated</t>
  </si>
  <si>
    <t xml:space="preserve">1. Working Capital requirement- 630 Lacs                                                                                                                                             2. General Corporate Purposes- 30.08Lacs                                                                                                                                                         3. Issue Expenses- 37.60 Lacs                                                                   </t>
  </si>
  <si>
    <t>Rs.51/-</t>
  </si>
  <si>
    <t>At close of listing day (June 23, 2017)</t>
  </si>
  <si>
    <r>
      <t xml:space="preserve">Issuer: </t>
    </r>
    <r>
      <rPr>
        <sz val="10"/>
        <rFont val="Times New Roman"/>
        <family val="1"/>
      </rPr>
      <t>Globe Textiles (India) Limited</t>
    </r>
    <r>
      <rPr>
        <b/>
        <sz val="10"/>
        <rFont val="Times New Roman"/>
        <family val="1"/>
      </rPr>
      <t xml:space="preserve"> **</t>
    </r>
  </si>
  <si>
    <t>Ashapura Intimates Fashion Ltd.</t>
  </si>
  <si>
    <t>Bella Casa Fashion &amp; Retail Ltd</t>
  </si>
  <si>
    <t>Kewal Kiran Clothing Ltd</t>
  </si>
  <si>
    <t>Libas Designs Ltd.</t>
  </si>
  <si>
    <t>S.P. Apparels Ltd</t>
  </si>
  <si>
    <t>**Source:  Prospectus dated June 05, 2017 - based on restated summary statement for period ended on March, 2017.</t>
  </si>
  <si>
    <t>Note: Since the company's share were listed on June 23, 2017 , we are considering March 31, 2018 as the 1st Financial Year.</t>
  </si>
  <si>
    <t>Accord Synergy Limited</t>
  </si>
  <si>
    <t>Rs 583.20 lakhs</t>
  </si>
  <si>
    <t>139.55Times</t>
  </si>
  <si>
    <t>(ii) at the end of the 1st Quarter immediately after the listing of the issue (Sept 30, 2017)</t>
  </si>
  <si>
    <t xml:space="preserve">1. Working Capital requirement- 435.03 Lacs                                    2. General Corporate Purposes- 87.48 Lacs                                                                                    3. Issue Expenses-60.69 Lacs                                                                   </t>
  </si>
  <si>
    <t># Since the company's share were listed on July 06, 2017 hence the same will be soon updated</t>
  </si>
  <si>
    <t xml:space="preserve">1. Working Capital requirement- 435.03 Lacs                                                                                                                                             2. General Corporate Purposes- 87.48 Lacs                                                                                                                                                         3. Issue Expenses-60.69 Lacs                                                                   </t>
  </si>
  <si>
    <t>Rs.60/-</t>
  </si>
  <si>
    <t>At close of listing day (July 06, 2017)</t>
  </si>
  <si>
    <r>
      <t xml:space="preserve">Issuer: </t>
    </r>
    <r>
      <rPr>
        <sz val="10"/>
        <rFont val="Times New Roman"/>
        <family val="1"/>
      </rPr>
      <t>Accord Synergy Limited</t>
    </r>
    <r>
      <rPr>
        <b/>
        <sz val="10"/>
        <rFont val="Times New Roman"/>
        <family val="1"/>
      </rPr>
      <t xml:space="preserve"> **</t>
    </r>
  </si>
  <si>
    <r>
      <t xml:space="preserve">Issuer: </t>
    </r>
    <r>
      <rPr>
        <sz val="10"/>
        <rFont val="Times New Roman"/>
        <family val="1"/>
      </rPr>
      <t xml:space="preserve">Accord Synergy Limited </t>
    </r>
    <r>
      <rPr>
        <b/>
        <sz val="10"/>
        <rFont val="Times New Roman"/>
        <family val="1"/>
      </rPr>
      <t xml:space="preserve"> **</t>
    </r>
  </si>
  <si>
    <t>**Source:  Prospectus dated June 12, 2017 - based on restated summary statement for period ended on December 31, 2016</t>
  </si>
  <si>
    <t>Note: Since the company's share were listed on July 06, 2017 , we are considering March 31, 2018 as the 1st Financial Year.</t>
  </si>
  <si>
    <t>Captain Technocast Limited</t>
  </si>
  <si>
    <t>Rs 570 lakhs (Offer for sale- 240 lakhs)</t>
  </si>
  <si>
    <t>13.83Times</t>
  </si>
  <si>
    <t>*Will be upadted once the company makes necessary disclosures on the website of  BSE Ltd.</t>
  </si>
  <si>
    <t xml:space="preserve">1. Working Capital requirement- 298.30 Lacs                                    2. General Corporate Purposes-15.50 Lacs                                                                                    3. Issue Expenses-16.20Lacs                                                                   </t>
  </si>
  <si>
    <t xml:space="preserve">1. Working Capital requirement- 298.30Lacs                                                                                                                                             2. General Corporate Purposes-15.50 Lacs                                                                                                                                                         3. Issue Expenses-16.20 Lacs                                                                   </t>
  </si>
  <si>
    <t>At close of listing day (August 01 ,2017)</t>
  </si>
  <si>
    <t>Index (of the Designated Stock Exchange):BSE SENSEX</t>
  </si>
  <si>
    <r>
      <t xml:space="preserve">Issuer: </t>
    </r>
    <r>
      <rPr>
        <sz val="10"/>
        <rFont val="Times New Roman"/>
        <family val="1"/>
      </rPr>
      <t>Captain TechnocatsLimited</t>
    </r>
    <r>
      <rPr>
        <b/>
        <sz val="10"/>
        <rFont val="Times New Roman"/>
        <family val="1"/>
      </rPr>
      <t xml:space="preserve"> **</t>
    </r>
  </si>
  <si>
    <t>Bhagwati Autocast Ltd</t>
  </si>
  <si>
    <t>Carnation Industries Ltd.</t>
  </si>
  <si>
    <t>Investment &amp; Precision Castings Ltd.</t>
  </si>
  <si>
    <t xml:space="preserve">8.48 
</t>
  </si>
  <si>
    <t xml:space="preserve">Nitin Castings Limited </t>
  </si>
  <si>
    <t xml:space="preserve">4.76 
</t>
  </si>
  <si>
    <t>**Source:  Prospectus dated July 13, 2017 - based on restated summary statement for period ended onMarch 31, 2017</t>
  </si>
  <si>
    <t>Note: Since the company's share were listed on August 01 2017 , we are considering March 31, 2018 as the 1st Financial Year.</t>
  </si>
  <si>
    <t>Shanti Overseas (India) Limited</t>
  </si>
  <si>
    <t>Rs 1002 lakhs</t>
  </si>
  <si>
    <t>14.31 Times</t>
  </si>
  <si>
    <t>(Rs. )</t>
  </si>
  <si>
    <t>* NSE Ltd.</t>
  </si>
  <si>
    <t xml:space="preserve">1. To purchase machineries - 274.10 Lacs                                    2. Investment in subsidiary- 455 Lacs                                                                                    3. General Corporate  Expenses-192.82 Lacs                           4. To meet issue expenses 80.08 Lacs                                                                </t>
  </si>
  <si>
    <t># Since the company's share were listed on August 03, 2017 hence the same will be soon updated</t>
  </si>
  <si>
    <t xml:space="preserve">1. To purchase machineries - 274.10 Lacs                                                                                                                         2. Investment in subsidiary- 455 Lacs                                                                                                                                           3. General Corporate  Expenses-192.82 Lacs                                                                                                                      4. To meet issue expenses 80.08 Lacs                                                                  </t>
  </si>
  <si>
    <t>Rs.50/-</t>
  </si>
  <si>
    <t>At close of listing day (August 03, 2017)</t>
  </si>
  <si>
    <r>
      <t xml:space="preserve">Issuer: </t>
    </r>
    <r>
      <rPr>
        <sz val="10"/>
        <rFont val="Times New Roman"/>
        <family val="1"/>
      </rPr>
      <t>Shanti Overseas( India )Limited</t>
    </r>
    <r>
      <rPr>
        <b/>
        <sz val="10"/>
        <rFont val="Times New Roman"/>
        <family val="1"/>
      </rPr>
      <t xml:space="preserve"> **</t>
    </r>
  </si>
  <si>
    <t>Kriti Nutrients Limited</t>
  </si>
  <si>
    <t>Gokul Agro Resources Limited</t>
  </si>
  <si>
    <t>**Source:  Prospectus dated July 13, 2017 - based on restated summary statement for period ended on March 31, 2017</t>
  </si>
  <si>
    <t>Note: Since the company's share were listed onAugust 03 2017 , we are considering March 31, 2018 as the 1st Financial Year.</t>
  </si>
  <si>
    <t>Surevin BPO Services Limited</t>
  </si>
  <si>
    <t>Rs. 364.80 lakhs</t>
  </si>
  <si>
    <t>53.28 Times</t>
  </si>
  <si>
    <t xml:space="preserve">1. To meet working capital - 253.84 Lacs                                    2.Public Issue expenses - 52.59 Lacs                                                                                    3. General Corporate  Expenses-58.37 Lacs                                                                                     </t>
  </si>
  <si>
    <t>At close of listing day (August 09, 2017)</t>
  </si>
  <si>
    <r>
      <t xml:space="preserve">Issuer: </t>
    </r>
    <r>
      <rPr>
        <sz val="10"/>
        <rFont val="Times New Roman"/>
        <family val="1"/>
      </rPr>
      <t>Surevin BPO Services Limited</t>
    </r>
    <r>
      <rPr>
        <b/>
        <sz val="10"/>
        <rFont val="Times New Roman"/>
        <family val="1"/>
      </rPr>
      <t>**</t>
    </r>
  </si>
  <si>
    <t xml:space="preserve">Allsec Technologies Ltd. </t>
  </si>
  <si>
    <t xml:space="preserve">Eclerx Services Ltd. </t>
  </si>
  <si>
    <t>**Source:  Prospectus dated August 02, 2017 - based on restated summary statement for period ended on March 31, 2017</t>
  </si>
  <si>
    <t>Note: Since the company's share were listed onAugust 09 ,2017 , we are considering March 31, 2018 as the 1st Financial Year.</t>
  </si>
  <si>
    <t>Pashupati Cotspin Limited</t>
  </si>
  <si>
    <t>Rs. 2088 lakhs</t>
  </si>
  <si>
    <t>1.673 Times</t>
  </si>
  <si>
    <t>(ii) at the end of the 1st Quarter immediately after the listing of the issue (Dec 31, 2017)</t>
  </si>
  <si>
    <t>Net Loss for the period</t>
  </si>
  <si>
    <t xml:space="preserve">1. To meet working capital - 1650 Lacs                                    2.Public Issue expenses - 25.50 Lacs                                                                                    3. General Corporate  Expenses-412.50 Lacs                                                                                     </t>
  </si>
  <si>
    <t># Since the company's share were listed on September 08, 2017 hence the same will be soon updated</t>
  </si>
  <si>
    <t xml:space="preserve">1. To meet working capital - 1650 Lacs                                                                                                                       2.Public Issue expenses - 25.50 Lacs                                                                                                                                      3. General Corporate  Expenses-412.50 Lacs                                                                                     </t>
  </si>
  <si>
    <t># Since the company's share were listed on September 08 2017 hence the same will be soon updated</t>
  </si>
  <si>
    <t>Rs.75/-</t>
  </si>
  <si>
    <t>At close of listing day (September 08, 2017)</t>
  </si>
  <si>
    <r>
      <t xml:space="preserve">Issuer: </t>
    </r>
    <r>
      <rPr>
        <sz val="10"/>
        <rFont val="Times New Roman"/>
        <family val="1"/>
      </rPr>
      <t>Pashupati Cotspin Limited</t>
    </r>
    <r>
      <rPr>
        <b/>
        <sz val="10"/>
        <rFont val="Times New Roman"/>
        <family val="1"/>
      </rPr>
      <t>**</t>
    </r>
  </si>
  <si>
    <t xml:space="preserve">Bannari Amman Spinning Mills Ltd. </t>
  </si>
  <si>
    <t xml:space="preserve">Ginni Filaments Ltd. </t>
  </si>
  <si>
    <t xml:space="preserve">Nagreeka Exports Ltd. </t>
  </si>
  <si>
    <t xml:space="preserve">PBM Polytex Ltd. </t>
  </si>
  <si>
    <t xml:space="preserve">Pioneer Embroideries Ltd. </t>
  </si>
  <si>
    <t>Suryalata Spinning Mills Ltd.</t>
  </si>
  <si>
    <t>**Source:  Prospectus dated August 21,2017 - based on restated summary statement for period ended on March 31, 2017</t>
  </si>
  <si>
    <t>Share India Securities Limited</t>
  </si>
  <si>
    <t>Rs 2637.12 lakhs (Offer for sale- 205 lakhs)</t>
  </si>
  <si>
    <t>3.66 Times</t>
  </si>
  <si>
    <t>(ii) at the end of the 1st Quarter immediately after the listing of the issue (December 31, 2017)</t>
  </si>
  <si>
    <t xml:space="preserve">1. Working Capital requirement- 1521.01 Lacs                                    2. Capital Expenditure: 127 Lacs                                                                                    3. Sales and Marketing Expenses-150 Lacs                                  4. Public Issue expenses- 154.11 Lacs                                             5.   General Corporate Purpose:   480 Lacs                                                         </t>
  </si>
  <si>
    <t>Rs.41/-</t>
  </si>
  <si>
    <t>At close of listing day October 05 ,2017)</t>
  </si>
  <si>
    <r>
      <t>Issuer: Share India Securities</t>
    </r>
    <r>
      <rPr>
        <sz val="10"/>
        <rFont val="Times New Roman"/>
        <family val="1"/>
      </rPr>
      <t>Limited</t>
    </r>
    <r>
      <rPr>
        <b/>
        <sz val="10"/>
        <rFont val="Times New Roman"/>
        <family val="1"/>
      </rPr>
      <t xml:space="preserve"> **</t>
    </r>
  </si>
  <si>
    <t xml:space="preserve">4.343
</t>
  </si>
  <si>
    <t xml:space="preserve">Aditya Birla Money Ltd. </t>
  </si>
  <si>
    <t>Emkay Global Financial Services Ltd.</t>
  </si>
  <si>
    <t xml:space="preserve">Edelweiss Financial Services Ltd. </t>
  </si>
  <si>
    <t xml:space="preserve">7.26  
</t>
  </si>
  <si>
    <t>Motilal Oswal Financial Services Ltd</t>
  </si>
  <si>
    <t>**Source:  Prospectus dated September 14, 2017 - based on restated summary statement for period ended on March 31, 2017</t>
  </si>
  <si>
    <t>Note: Since the company's share were listed on October 05, 2017 , we are considering March 31, 2018 as the 1st Financial Year.</t>
  </si>
  <si>
    <t>RKEC Projects Limited</t>
  </si>
  <si>
    <t>Rs. 2870.10 lakhs (Offer for sale- 765 lakhs)</t>
  </si>
  <si>
    <t>17.99 times</t>
  </si>
  <si>
    <t xml:space="preserve">1. To meet working capital - 1500 Lacs                                    2.Public Issue expenses - 210.51 Lacs                                                                                    3. General Corporate  Expenses-394.59 Lacs                                                                                     </t>
  </si>
  <si>
    <t># Since the company's share were listed on October 09, 2017 hence the same will be soon updated</t>
  </si>
  <si>
    <t xml:space="preserve">1. To meet working capital - 1500 Lacs                                                                                                                              2.Public Issue expenses - 210.51 Lacs                                                                                                                                     3. General Corporate  Expenses-394.59 Lacs                                                                                     </t>
  </si>
  <si>
    <t>Rs.45/-</t>
  </si>
  <si>
    <t>At close of listing day (October 09, 2017)</t>
  </si>
  <si>
    <r>
      <t xml:space="preserve">Issuer: </t>
    </r>
    <r>
      <rPr>
        <sz val="10"/>
        <rFont val="Times New Roman"/>
        <family val="1"/>
      </rPr>
      <t>RKEC Projects Limited</t>
    </r>
    <r>
      <rPr>
        <b/>
        <sz val="10"/>
        <rFont val="Times New Roman"/>
        <family val="1"/>
      </rPr>
      <t>**</t>
    </r>
  </si>
  <si>
    <t>Nila Infrastructures Ltd.</t>
  </si>
  <si>
    <t>RPP Infra Projects Ltd.</t>
  </si>
  <si>
    <t>Simplex Projects Ltd.</t>
  </si>
  <si>
    <t>**Source:  Prospectus dated September 18,2017 - based on restated summary statement for period ended on March 31, 2017</t>
  </si>
  <si>
    <t>Note: Since the company's share were listed on October 09 ,2017 , we are considering March 31, 2018 as the 1st Financial Year.</t>
  </si>
  <si>
    <t>DP Abhushan Limited</t>
  </si>
  <si>
    <t>Rs 1660.96  lakhs</t>
  </si>
  <si>
    <t>39.54 Times</t>
  </si>
  <si>
    <t xml:space="preserve">1. Working Capital requirement- 1450 Lacs                                    2. General Corporate Purposes- 131.48 Lacs                                                                                    3. Issue Expenses-79.12 Lacs                                                                   </t>
  </si>
  <si>
    <t xml:space="preserve">1. Working Capital requirement- 1450 Lacs                                                                                                                                2. General Corporate Purposes- 131.48 Lacs                                                                                                                          3. Issue Expenses-79.12 Lacs                                                                   </t>
  </si>
  <si>
    <t>Rs.28/-</t>
  </si>
  <si>
    <t>At close of listing day (October 23, 2017)</t>
  </si>
  <si>
    <r>
      <t xml:space="preserve">Issuer: </t>
    </r>
    <r>
      <rPr>
        <sz val="10"/>
        <rFont val="Times New Roman"/>
        <family val="1"/>
      </rPr>
      <t>D. P. Abhushan Limited</t>
    </r>
    <r>
      <rPr>
        <b/>
        <sz val="10"/>
        <rFont val="Times New Roman"/>
        <family val="1"/>
      </rPr>
      <t>**</t>
    </r>
  </si>
  <si>
    <t>Thangamayil Jewellery Ltd</t>
  </si>
  <si>
    <t xml:space="preserve">13.90  
</t>
  </si>
  <si>
    <t>Tribhovandas Bhimji Zaveri Ltd</t>
  </si>
  <si>
    <t>PC Jeweller Ltd</t>
  </si>
  <si>
    <t>**Source:  Prospectus dated September 26, 2017 - based on restated summary statement for period ended on March 31,2017</t>
  </si>
  <si>
    <t>Note: Since the company's share were listed onOctober 23, 2017 , we are considering March 31, 2018 as the 1st Financial Year.</t>
  </si>
  <si>
    <t>ANI Integrated Services Limited</t>
  </si>
  <si>
    <t>Rs 2565.60 lakhs (Offer for sale- 878.40 lakhs)</t>
  </si>
  <si>
    <t>199.12 Times</t>
  </si>
  <si>
    <t xml:space="preserve">1. Repayment of Bank Borrowings- 500Lacs                                    2.To meet working capital requirement - 634.894
Lacs                                                                                    3.General Corporate Expenses -404.93 Lacs                     4. To meet the Issue Expenses - 147.376 Lacs                                                            </t>
  </si>
  <si>
    <t xml:space="preserve">1. Repayment of Bank Borrowings- 500Lacs                                                                                                                2.To meet working capital requirement - 634.894Lacs                                                                              
      3.General Corporate Expenses -404.93 Lacs   
                  4. To meet the Issue Expenses - 147.376 Lacs                                                            </t>
  </si>
  <si>
    <t>Rs.100/-</t>
  </si>
  <si>
    <t>At close of listing day (November 20, 2017)</t>
  </si>
  <si>
    <r>
      <t xml:space="preserve">Issuer: </t>
    </r>
    <r>
      <rPr>
        <sz val="10"/>
        <rFont val="Times New Roman"/>
        <family val="1"/>
      </rPr>
      <t>ANI Integaretd Services Limited</t>
    </r>
    <r>
      <rPr>
        <b/>
        <sz val="10"/>
        <rFont val="Times New Roman"/>
        <family val="1"/>
      </rPr>
      <t xml:space="preserve"> **</t>
    </r>
  </si>
  <si>
    <t>Quess Corp Ltd.</t>
  </si>
  <si>
    <t xml:space="preserve">33.13  
</t>
  </si>
  <si>
    <t>TeamLease Services Ltd.</t>
  </si>
  <si>
    <t>**Source:  Prospectus dated October 31, 2017 - based on restated summary statement for period ended on June 30, 2017</t>
  </si>
  <si>
    <t>Note: Since the company's share were listed on November 20, 2017 , we are considering March 31, 2018 as the 1st Financial Year.</t>
  </si>
  <si>
    <t>Dynamic Cables Limited</t>
  </si>
  <si>
    <t>Initial Public Offering (IPO) on SME Platform on BSE Limited</t>
  </si>
  <si>
    <t>Rs 2337.60 lakhs</t>
  </si>
  <si>
    <t>69.46 Times</t>
  </si>
  <si>
    <t>*Will be upadted once the company makes necessary disclosures on the website of BSE Ltd.</t>
  </si>
  <si>
    <t>NIL</t>
  </si>
  <si>
    <t xml:space="preserve">1. To meet Working Capital requirements -2138.54 Lacs.                                                                                            2. To meet General Corporate Expenses -125 Lacs.                         3. To meet Issue Expenses -74.06 Lacs                                                </t>
  </si>
  <si>
    <t># Since the company's share were listed on December 14, 2017 hence the same will be soon updated</t>
  </si>
  <si>
    <t xml:space="preserve">1. To meet Working Capital requirements -2138.54 Lacs.                                                                                            2. To meet General Corporate Expenses -125 Lacs.                                                                                                         3. To meet Issue Expenses -74.06 Lacs                                                </t>
  </si>
  <si>
    <t># Since the company's share were listed on December 14, 2017 ,hence the same will be soon updated</t>
  </si>
  <si>
    <t>Rs. 40/-</t>
  </si>
  <si>
    <t>At close of listing day (December 14, 2017)</t>
  </si>
  <si>
    <r>
      <t xml:space="preserve">Issuer: </t>
    </r>
    <r>
      <rPr>
        <sz val="10"/>
        <rFont val="Times New Roman"/>
        <family val="1"/>
      </rPr>
      <t>Dynamic Cables Limited</t>
    </r>
    <r>
      <rPr>
        <b/>
        <sz val="10"/>
        <rFont val="Times New Roman"/>
        <family val="1"/>
      </rPr>
      <t xml:space="preserve"> **</t>
    </r>
  </si>
  <si>
    <t xml:space="preserve">Cords Cable Industries Ltd </t>
  </si>
  <si>
    <t xml:space="preserve">KEI Industries Ltd. </t>
  </si>
  <si>
    <t xml:space="preserve">Universal Cables Ltd. </t>
  </si>
  <si>
    <t xml:space="preserve">Havells India Ltd. </t>
  </si>
  <si>
    <t>**Source:  Prospectus dated  November 24, 2017 - based on restated summary statement for period ended on June 30, 2017</t>
  </si>
  <si>
    <t>Note: Since the company's share were listed on December 14, 2017 , we are considering March 31, 2018 as the 1st Financial Year.</t>
  </si>
  <si>
    <t>(ii) at the end of the 1st Quarter immediately after the listing of the issue (March 31, 2018)</t>
  </si>
  <si>
    <t>Hindcon Chemicals Limited</t>
  </si>
  <si>
    <t>Rs 772.80  lakhs</t>
  </si>
  <si>
    <t>131.63Times</t>
  </si>
  <si>
    <t>1. To Meet Working Capital Requirement- 538.16 Lacs. 2. Public Issue Expenses-74.64 Lacs                              3.General Corporate Expenses-160Lacs</t>
  </si>
  <si>
    <t>At close of listing day (March 09, 2018)</t>
  </si>
  <si>
    <t>At the end of 1st FY  (2017-18)</t>
  </si>
  <si>
    <r>
      <t xml:space="preserve">Issuer: </t>
    </r>
    <r>
      <rPr>
        <sz val="10"/>
        <rFont val="Times New Roman"/>
        <family val="1"/>
      </rPr>
      <t>Hindcon Chemicals Limited</t>
    </r>
    <r>
      <rPr>
        <b/>
        <sz val="10"/>
        <rFont val="Times New Roman"/>
        <family val="1"/>
      </rPr>
      <t>**</t>
    </r>
  </si>
  <si>
    <t>Pidilite Industries Limited</t>
  </si>
  <si>
    <t>Gillanders Arbuthnot &amp; Company Limited</t>
  </si>
  <si>
    <t>BASF India Limited</t>
  </si>
  <si>
    <t>**Source:  Prospectus dated February 14, 2018 based on restated summary statement for period ended on September 30 ,2017</t>
  </si>
  <si>
    <t>Note: Since the company's share were listed on March 09, 2018 we are considering March 31, 2018 as the 1st Financial Year.</t>
  </si>
  <si>
    <t>Tara chand Logistic Solutions Limited</t>
  </si>
  <si>
    <t>Rs. 2046 lakhs</t>
  </si>
  <si>
    <t>2.50 Times</t>
  </si>
  <si>
    <t xml:space="preserve">*NSE </t>
  </si>
  <si>
    <t>1. Repayment of Certain Secured Borrowings availed by our Company - 510.45 Lacs.                                                             2. Purchase of Capital Equipment -200 Lacs                              3.General Corporate Expenses-410 Lacs.                                      4. To meet working capital requirement-806.21 Lacs. 5. Issue Expenses -119.34 Lacs</t>
  </si>
  <si>
    <t>Rs. 55/-</t>
  </si>
  <si>
    <t>At close of listing day (March 23, 2018)</t>
  </si>
  <si>
    <t>As at the end of 1st FY after the listing of the issue (2017-18)</t>
  </si>
  <si>
    <t>At the end of 1st FY (2017-18)</t>
  </si>
  <si>
    <r>
      <t xml:space="preserve">Issuer: </t>
    </r>
    <r>
      <rPr>
        <sz val="10"/>
        <rFont val="Times New Roman"/>
        <family val="1"/>
      </rPr>
      <t>Tara Chand Logistic Solutions Limited</t>
    </r>
    <r>
      <rPr>
        <b/>
        <sz val="10"/>
        <rFont val="Times New Roman"/>
        <family val="1"/>
      </rPr>
      <t>**</t>
    </r>
  </si>
  <si>
    <t>Lancer Container Lines Ltd</t>
  </si>
  <si>
    <t>Tiger Logistics</t>
  </si>
  <si>
    <t>**Source:  Prospectus dated March 01, 2018 based on restated summary statement for period ended on December 31, 2017.</t>
  </si>
  <si>
    <t>Note: Since the company's share were listed on March 23, 2018 we are considering March 31, 2018 as the 1st Financial Year.</t>
  </si>
  <si>
    <t>Dhruv Consultancy Services Limited</t>
  </si>
  <si>
    <t>Rs. 2319.84 lakhs</t>
  </si>
  <si>
    <t>2.54 Times</t>
  </si>
  <si>
    <t>(ii) at the end of the 1st Quarter immediately after the listing of the issue (June 30, 2018)</t>
  </si>
  <si>
    <t>(iii) at the end of 1st FY</t>
  </si>
  <si>
    <t xml:space="preserve">1.Repayment/ prepayment of certain indebtedness - 499.51 Lacs.                                                                                      2. To Meet Working Capital requirements  -1140Lacs                              3.General Corporate Expenses -481.14 Lacs.                                      4. Issue Expenses -199.19Lacs. </t>
  </si>
  <si>
    <t># Since the company's share were listed on May 10, 2018 hence the same will be soon updated</t>
  </si>
  <si>
    <t xml:space="preserve">1.Repayment/ prepayment of certain indebtedness - 499.51 Lacs.                                                                                      2. To Meet Working Capital requirements  -1140Lacs                                                                                                   3.General Corporate Expenses -481.14 Lacs.                                                                                                                               4. Issue Expenses -199.19Lacs. </t>
  </si>
  <si>
    <t># Since the company's share were listed on May 10, 2018 ,hence the same will be soon updated</t>
  </si>
  <si>
    <t>Rs. 54/-</t>
  </si>
  <si>
    <t>At close of listing day (May 10, 2018)</t>
  </si>
  <si>
    <r>
      <t xml:space="preserve">Issuer: </t>
    </r>
    <r>
      <rPr>
        <sz val="10"/>
        <rFont val="Times New Roman"/>
        <family val="1"/>
      </rPr>
      <t>Dhruv Consultancy ServicesLimited</t>
    </r>
    <r>
      <rPr>
        <b/>
        <sz val="10"/>
        <rFont val="Times New Roman"/>
        <family val="1"/>
      </rPr>
      <t>**</t>
    </r>
  </si>
  <si>
    <t>Artefact Projects ltd.</t>
  </si>
  <si>
    <t>MITCON Consultancy &amp; Engineering Services Limited</t>
  </si>
  <si>
    <t>**Source:  Prospectus dated April 20, 2018 based on restated summary statement for period ended on December 31, 2017</t>
  </si>
  <si>
    <t>Note: Since the company's share were listed on May 10, 2018 we are considering March 31, 2019 as the 1st Financial Year.</t>
  </si>
  <si>
    <t>Sonam Clock Limited</t>
  </si>
  <si>
    <t>Rs.1010.88 lakhs</t>
  </si>
  <si>
    <t>2.28 Times</t>
  </si>
  <si>
    <t xml:space="preserve">1.Funding the Working Capital Requirements of the Company - 510 Lacs.                                                                                      2. Repayment of Unsecured Loan availed by our Company -200 Lacs                                                               3.To meet General Corporate Expense -232.55Lacs.                                      4. Issue Expenses -68.33 Lacs. </t>
  </si>
  <si>
    <t># Since the company's share were listed on June 14, 2018 hence the same will be soon updated</t>
  </si>
  <si>
    <t xml:space="preserve">1.Funding the Working Capital Requirements of the Company - 510 Lacs.                                                                                      2. Repayment of Unsecured Loan availed by our Company -200 Lacs                                                               3.To meet General Corporate Expense -232.55Lacs.                                                                                                             4. Issue Expenses -68.33 Lacs. </t>
  </si>
  <si>
    <t># Since the company's share were listed on June 14, 2018 ,hence the same will be soon updated</t>
  </si>
  <si>
    <t>Rs. 36/-</t>
  </si>
  <si>
    <t>At close of listing day (June 14, 2018)</t>
  </si>
  <si>
    <t>As at the end of 1st FY after the listing of the issue</t>
  </si>
  <si>
    <t>Index (of the Designated Stock Exchange): CNX/ NIFTY 50</t>
  </si>
  <si>
    <r>
      <t xml:space="preserve">Issuer: </t>
    </r>
    <r>
      <rPr>
        <sz val="10"/>
        <rFont val="Times New Roman"/>
        <family val="1"/>
      </rPr>
      <t>Sonam Clock Limited</t>
    </r>
    <r>
      <rPr>
        <b/>
        <sz val="10"/>
        <rFont val="Times New Roman"/>
        <family val="1"/>
      </rPr>
      <t>**</t>
    </r>
  </si>
  <si>
    <t>Opal Luxury Time Products Limited</t>
  </si>
  <si>
    <t>**Source:  Prospectus dated May 25, 2018 based on restated summary statement for period ended on March 31, 2018</t>
  </si>
  <si>
    <t>Note: Since the company's share were listed on June 14, 2018 we are considering March 31, 2019 as the 1st Financial Year.</t>
  </si>
  <si>
    <t xml:space="preserve">PARIN FURNITURE LIMITED </t>
  </si>
  <si>
    <t>Rs. 18.90 Crores</t>
  </si>
  <si>
    <t>2.062 Times</t>
  </si>
  <si>
    <t>(ii) at the end of the 1st Quarter immediately after the listing of the issue (December 31, 2018)</t>
  </si>
  <si>
    <t xml:space="preserve">1. Repayment of Certain Secured Borrowing availed by  company
2. Funding the Working Capital Requirements of the Company
3.General Corporate Expense 
4. Issue Expenses
</t>
  </si>
  <si>
    <t>1. Repayment of Certain Secured Borrowing availed by  company - Rs. 900 lakhs
2. Funding the Working Capital Requirements of the Company - Rs. 620 lakhs
3.General Corporate Expense - Rs. 310 lakhs
4. Issue Expenses- Rs. 60 lakhs</t>
  </si>
  <si>
    <t># Since the company's share were listed on October 09, 2018 hence the same will be soon updated</t>
  </si>
  <si>
    <t># Since the company's share were listed on  October 09, 2018 ,hence the same will be soon updated</t>
  </si>
  <si>
    <t>Rs. 63/-</t>
  </si>
  <si>
    <t>At close of listing day (October 09, 2018)</t>
  </si>
  <si>
    <r>
      <t xml:space="preserve">Issuer: </t>
    </r>
    <r>
      <rPr>
        <sz val="10"/>
        <rFont val="Times New Roman"/>
        <family val="1"/>
      </rPr>
      <t>Parin Furniture Limited</t>
    </r>
  </si>
  <si>
    <t>Nilkamal Limited</t>
  </si>
  <si>
    <t>**Source:  Prospectus dated October 01 2018 based on restated summary statement for period ended on March 31, 2018</t>
  </si>
  <si>
    <t>Note: Since the company's share were listed onOctober 09, 2018 we are considering March 31, 2019 as the 1st Financial Year.</t>
  </si>
  <si>
    <t>Kritika Wires Limited</t>
  </si>
  <si>
    <t>Rs.1539. 84 lakhs</t>
  </si>
  <si>
    <t>1.6293 Times</t>
  </si>
  <si>
    <t xml:space="preserve">1. To meet the Working Capital Requirements of the Company - Rs. 1238.64 lakhs                                                                                                                                         2.To meet General Corporate Expense -Rs. 200 lakhs                                      3. Issue Expenses -Rs. 101.20 lakhs. </t>
  </si>
  <si>
    <t># Since the company's share were listed on October 10, 2018 hence the same will be soon updated</t>
  </si>
  <si>
    <t xml:space="preserve">1. To meet the Working Capital Requirements of the Company - Rs. 1238.64 lakhs                                                                                                                                         2.To meet General Corporate Expense -Rs. 200 lakhs  
     3. Issue Expenses -Rs. 101.20 lakhs. </t>
  </si>
  <si>
    <t># Since the company's share were listed on October 10, 2018 ,hence the same will be soon updated</t>
  </si>
  <si>
    <t>Rs. 32/-</t>
  </si>
  <si>
    <t>At close of listing day (October 10, 2018)</t>
  </si>
  <si>
    <r>
      <t xml:space="preserve">Issuer: </t>
    </r>
    <r>
      <rPr>
        <sz val="10"/>
        <rFont val="Times New Roman"/>
        <family val="1"/>
      </rPr>
      <t>Kritika Wires Limited</t>
    </r>
    <r>
      <rPr>
        <b/>
        <sz val="10"/>
        <rFont val="Times New Roman"/>
        <family val="1"/>
      </rPr>
      <t>**</t>
    </r>
  </si>
  <si>
    <t>Ram Ratna Wires Limited</t>
  </si>
  <si>
    <t>Geekay Wires Limited</t>
  </si>
  <si>
    <t>**Source:  Prospectus dated September 18, 2018 based on restated summary statement for period ended on March 31, 2018</t>
  </si>
  <si>
    <t>Note: Since the company's share were listed onOctober 10, 2018 we are considering March 31, 2019 as the 1st Financial Year.</t>
  </si>
  <si>
    <t>1. Repayment of Certain Secured Borrowings availed by our Company - 350.45 Lacs.                                                             2. Purchase of Capital Equipment -200 Lacs                              3.General Corporate Expenses-410 Lacs.                                      4. To meet working capital requirement-806.21 Lacs. 5. Issue Expenses -119.34 Lacs</t>
  </si>
  <si>
    <t># based on Deployement certificate as received form Companyupdated as on September 30,2018</t>
  </si>
  <si>
    <t>1. Repayment of Certain Secured Borrowings availed by our Company - 510.45 Lacs.                                                                                                           2. Purchase of Capital Equipment -200 Lacs                                                                                                                                                                         3.General Corporate Expenses-410 Lacs.                                                                                                                                                                                                4. To meet working capital requirement-806.21 Lacs.                                                                                                                                                                      5. Issue Expenses -119.34 Lacs</t>
  </si>
  <si>
    <t>1. Repayment of Certain Secured Borrowings availed by our Company - 350.45 Lacs.                                                                                                           2. Purchase of Capital Equipment -200 Lacs                                                                                                                                                                         3.General Corporate Expenses-410 Lacs.                                                                                                                                                                                                4. To meet working capital requirement-806.21 Lacs.                                                                                                                                                                      5. Issue Expenses -119.34 Lacs</t>
  </si>
  <si>
    <t>#  based on Deployement certificate as received form Companyupdated as on September 30,2018</t>
  </si>
  <si>
    <t>1. To Meet Working Capital Requirement- 538.16 Lacs.      2. Public Issue Expenses-74.64 Lacs                              3.General Corporate Expenses-160Lacs</t>
  </si>
  <si>
    <t>1. To Meet Working Capital Requirement- 538.16 Lacs.                                                                                                                               2. Public Issue Expenses-74.64 Lacs                                                                                                                                                    3.General Corporate Expenses-160Lacs</t>
  </si>
  <si>
    <t># based on Deployement certificate as received from Company updated as on December 31,2018</t>
  </si>
  <si>
    <t xml:space="preserve">1. Repayment of Bank Borrowings- 500Lacs                                                  2.To meet working capital requirement - 634.894
Lacs                                                                                    3.General Corporate Expenses -84.93 Lacs                                              4. To meet the Issue Expenses - 147.376 Lacs                                                            </t>
  </si>
  <si>
    <t xml:space="preserve">1. Repayment of Bank Borrowings- 500Lacs                                                                                                                2.To meet working capital requirement - 634.894Lacs                                                                              
      3.General Corporate Expenses -84.93 Lacs   
                  4. To meet the Issue Expenses - 147.376 Lacs   </t>
  </si>
  <si>
    <t># based on Deployement certificate as received from Company updated as on December 27,2018</t>
  </si>
  <si>
    <t xml:space="preserve">1. Working Capital requirement- 1450 Lacs                                    2. General Corporate Purposes- 119.54 Lacs                                                                                    3. Issue Expenses-91.42 Lacs        </t>
  </si>
  <si>
    <t xml:space="preserve">1. Working Capital requirement- 1450 Lacs                                                                                                                         2. General Corporate Purposes- 119.54 Lacs                                                                                                                                       3. Issue Expenses-91.42 Lacs      </t>
  </si>
  <si>
    <t># based on Deployement certificate as received from Company updated as on March 09,2018</t>
  </si>
  <si>
    <t xml:space="preserve">1. Working Capital requirement- 1521.01 Lacs                                        2. Capital Expenditure: Nil                                                                                    3. Sales and Marketing Expenses-Nil                                                        4. Public Issue expenses- 154.11 Lacs                                                               5.   General Corporate Purpose:   480 Lacs                                                         </t>
  </si>
  <si>
    <t>The Amount Pending
Utilisation For Capital
Expenditure Incurred
For Branch Expansion
And to Meet Sales And
Marketing Expenditure
is kept in Fixed Deposits
with the Bank</t>
  </si>
  <si>
    <t># based on Deployement certificate as received from Company updated as on January 11, 2019</t>
  </si>
  <si>
    <t>Note:Amount of Rs. 235.95/- Lakhs has been invested as Fixed deposit for the prupose of meeting working capital requirement</t>
  </si>
  <si>
    <t xml:space="preserve">1. To meet working capital - 80 Lacs                                    2.Public Issue expenses - 48.84 Lacs                                                                                    3. General Corporate  Expenses-Nil </t>
  </si>
  <si>
    <t xml:space="preserve">1. To meet working capital - 253.84 Lacs                                                                                                                          2.Public Issue expenses - 52.59 Lacs                                                                                                                                                  3. General Corporate  Expenses-58.37 Lacs                                                                                     </t>
  </si>
  <si>
    <t># based on Deployement certificate as received from Company updated as on September 30, 2018</t>
  </si>
  <si>
    <t xml:space="preserve">  </t>
  </si>
  <si>
    <t xml:space="preserve">                                                                                        </t>
  </si>
  <si>
    <t xml:space="preserve">                                                                                                                                                                                                                            </t>
  </si>
  <si>
    <t xml:space="preserve">           </t>
  </si>
  <si>
    <t xml:space="preserve">1. Working Capital requirement-324.04 Lacs                                                                                              2. Issue Expenses- 35 Lacs                                                          3.General corporate Purposes- 63.36 Lacs     </t>
  </si>
  <si>
    <t xml:space="preserve">1. Working Capital requirement-324.04 Lacs
2.  Issue Expenses- 35 Lacs      
3. General corporate Purposes- 63.36 Lacs   </t>
  </si>
  <si>
    <t xml:space="preserve">1. Working Capital requirement- 435.14 Lacs                                     2. General Corporate Purposes- 37.16 Lacs                                                                                     3. Issue Expenses- 28.70 Lacs     </t>
  </si>
  <si>
    <t>IPO expense to the extent of Rs. 11.30 lacs has been incurred out of internal accrual and temproary working capital surplus prior to the realisation of IPO proceeds and hence not covered under the actual deployment figure.</t>
  </si>
  <si>
    <t>1.  Working Capital requirement- 435.14 Lacs   
2.General Corporate Purposes- 37.16 Lacs
3. Issue Expenses- 28.70 Lacs</t>
  </si>
  <si>
    <t>Change, if any, in directors of issuer from the disclosures in the offer document (See Regulation 68 and Schedule III of the SEBI (Listing Obligations &amp; Disclosure Requirements) , 2015</t>
  </si>
  <si>
    <t xml:space="preserve">1. Working Capital requirement- 564.96 Lacs                                     2. General Corporate Purposes- 15.33 Lacs                                                                                     3. Issue Expenses- 44.67 Lacs    </t>
  </si>
  <si>
    <t xml:space="preserve">1. Working Capital requirement- 564.96 Lacs  
2.. General Corporate Purposes- 15.33 Lacs   
3. Issue Expenses- 44.67 Lacs </t>
  </si>
  <si>
    <t xml:space="preserve"> </t>
  </si>
  <si>
    <t xml:space="preserve">1. Working Capital requirement- 236.02 Lacs                                     2. General Corporate Purposes- 30.00 Lacs                                                                                     3. Issue Expenses- 23.36 Lacs                                                                   </t>
  </si>
  <si>
    <t xml:space="preserve">1. Working Capital requirement- 236.02 Lacs
2. General Corporate Purposes- 30.00 Lacs  
3. Issue Expenses- 23.36 Lacs      </t>
  </si>
  <si>
    <t>Mindpool Technologies Limited</t>
  </si>
  <si>
    <t>Initial Public Offering (IPO) on SME Platform of NSE limited</t>
  </si>
  <si>
    <t>Rs. 360 lakhs</t>
  </si>
  <si>
    <t xml:space="preserve">1. To meet the Working Capital Requirements of the Company - Rs. 190 lakhs   
2. Repayment of a portion of Bank Borrowings - Rs. 44 lakhs                                                                                                                                      3. General Corporate Expense -Rs. 33.40 lakhs  
     4. Issue Expenses -Rs.92.60 lakhs. </t>
  </si>
  <si>
    <t>VR Films and Studios Limited</t>
  </si>
  <si>
    <t>Rs. 226.92 lakhs</t>
  </si>
  <si>
    <t>Initial Public Offering (IPO) on SME Platform of BSE limited</t>
  </si>
  <si>
    <t xml:space="preserve">1. To meet the Working Capital Requirements - Rs. 136.62 lakhs                                                                                                                                         2. To meet General Corporate Expense -Rs.50.14 lakhs                                      3. Issue Expenses -Rs.40.16 lakhs. </t>
  </si>
  <si>
    <t>Evans Electric Limited</t>
  </si>
  <si>
    <t>Rs. 193.44 lakhs</t>
  </si>
  <si>
    <t>1.35 Times</t>
  </si>
  <si>
    <t xml:space="preserve">1. To meet the Working Capital Requirements of the Company - Rs. 111.00 lakhs                                                                                                                                         2.To meet General Corporate Expense -Rs. 37 lakhs                                      3. Issue Expenses -Rs. 45.44 lakhs. </t>
  </si>
  <si>
    <t>At close of listing day (May 13, 2019)</t>
  </si>
  <si>
    <t>*Will be updated once the company makes necessary disclosures on the website of BSE Ltd.</t>
  </si>
  <si>
    <t>Rs. 52</t>
  </si>
  <si>
    <t>**Source:  Prospectus dated April 22, 2019 based on restated summary statement for period ended on October 31, 2018</t>
  </si>
  <si>
    <r>
      <t xml:space="preserve">Issuer: </t>
    </r>
    <r>
      <rPr>
        <sz val="10"/>
        <rFont val="Times New Roman"/>
        <family val="1"/>
      </rPr>
      <t>Evans Electric Limited</t>
    </r>
    <r>
      <rPr>
        <b/>
        <sz val="10"/>
        <rFont val="Times New Roman"/>
        <family val="1"/>
      </rPr>
      <t>**</t>
    </r>
  </si>
  <si>
    <r>
      <t xml:space="preserve">Issuer: </t>
    </r>
    <r>
      <rPr>
        <sz val="10"/>
        <rFont val="Times New Roman"/>
        <family val="1"/>
      </rPr>
      <t>Evans Electric Limited**</t>
    </r>
  </si>
  <si>
    <t>At close of listing day (April 30, 2019)</t>
  </si>
  <si>
    <r>
      <t>Issuer:</t>
    </r>
    <r>
      <rPr>
        <sz val="10"/>
        <rFont val="Times New Roman"/>
        <family val="1"/>
      </rPr>
      <t xml:space="preserve">  VR Films and Studios Limited</t>
    </r>
    <r>
      <rPr>
        <b/>
        <sz val="10"/>
        <rFont val="Times New Roman"/>
        <family val="1"/>
      </rPr>
      <t>**</t>
    </r>
  </si>
  <si>
    <t>**Source:  Prospectus dated  April 03, 2019 based on restated summary statement for period ended on  October 31, 2018</t>
  </si>
  <si>
    <t>1.93 times</t>
  </si>
  <si>
    <t>(ii) at the end of the 1st Quarter immediately after the listing of the issue (March 31, 2019)</t>
  </si>
  <si>
    <t># Since the company's share were listed on February 28, 2019 ,hence the same will be soon updated</t>
  </si>
  <si>
    <t>At close of listing day (February 28, 2019)</t>
  </si>
  <si>
    <t>Note: Since the company's share were listed onFebruary 28, 2019 we are considering March 31, 2019 as the 1st Financial Year.</t>
  </si>
  <si>
    <t># Since the company's share were listed on February 28, 2019 hence the same will be soon updated</t>
  </si>
  <si>
    <t xml:space="preserve">1. To meet the Working Capital Requirements - Rs. 190 lakhs  
2. To Repay a portion of Bank Borrowings- Rs. 44 lakhs                                                                                                                                        3.To meet General Corporate Expense -Rs. 33.40 akhs                                      4. Issue Expenses - Rs. 92.60 lakhs. </t>
  </si>
  <si>
    <t>Rs. 30</t>
  </si>
  <si>
    <t>**Source:  Prospectus dated January 28, 2019 based on restated summary statement for period ended on September 30, 2018</t>
  </si>
  <si>
    <r>
      <t xml:space="preserve">Issuer: </t>
    </r>
    <r>
      <rPr>
        <sz val="10"/>
        <rFont val="Times New Roman"/>
        <family val="1"/>
      </rPr>
      <t>Mindpool Technologies Limited</t>
    </r>
    <r>
      <rPr>
        <b/>
        <sz val="10"/>
        <rFont val="Times New Roman"/>
        <family val="1"/>
      </rPr>
      <t>**</t>
    </r>
  </si>
  <si>
    <t>Rs. 61</t>
  </si>
  <si>
    <t>Note: Since the company's share were listed on April 30, 2019 we are considering March 31, 2020 as the 1st Financial Year.</t>
  </si>
  <si>
    <t>Note: Since the company's share were listed on May 13, 2019 we are considering March 31, 2020 as the 1st Financial Year.</t>
  </si>
  <si>
    <t>No Change</t>
  </si>
  <si>
    <t>1.  Mr. Piyushkumar Chandrakantibhai Thakkar was appointed w.e.f 30.09.2017
2.  Mr. Hemang Kirtikumar Shah was appointed from 13.01.2018
3. Mr. Viral Dipak Ranpura resigned w.e.f. 13.01.2018</t>
  </si>
  <si>
    <t>Source: NSE,Website of company</t>
  </si>
  <si>
    <t xml:space="preserve">Appointment of Mr Mahendra Kumar Ostwal as additional Non- Executive Director and  Mr Bheru Lal Ostwal as Additional Independent Director </t>
  </si>
  <si>
    <t>Appointment of Mr Karan Yadav as Executive Director of the company w.e.f. August 16, 2018</t>
  </si>
  <si>
    <t>Appointment of Mr Tanaji Yadav as Executive Director and Mr. Avinash Salunkhe as an Independent Director of the company w.e.f. November 13, 2017</t>
  </si>
  <si>
    <t>Financials of the issuer (as per the annual financial results submitted to stock exchange in Regulation 33 of the SEBI (Listing Obligations &amp; Disclosure Requirements) , 2015</t>
  </si>
  <si>
    <t>Appointment of Ms. Sashi Agarwal and Mr. Pratap Das  as an additional director w.e.f. 30.05.2019</t>
  </si>
  <si>
    <t>Appointmnet of Ms. Riya  Uttamprakash Agarwal as Additional Independent Director w.e.f. 29.05.2019</t>
  </si>
  <si>
    <t xml:space="preserve"> Appointment of Mr Suneel Sayarmal Mohnot as Non- Executive Independent Director of the company w.e.f. January 30, 2018
Resignation of Mr Akshay Goyal as Independent Director of the company w.e.f. January 15, 2018</t>
  </si>
  <si>
    <t>1. Appointment of Mr Pankaj Ostwal as Non- Executive Director of the company w.e.f. March 26, 2019.
2.  Appointment of Mr. Bheru Lal Ostwal as Independent Director w.e.f. March 26, 2019</t>
  </si>
  <si>
    <t>At the end of 2nd FY (2018-19)</t>
  </si>
  <si>
    <t>Appointment of Himashu Goyal as Additional Independent director w.e.f. 28.02.2018</t>
  </si>
  <si>
    <t>Appointmnet of Mr. Gururaj Karajagi as Independent Director w.e.f. August 17, 2017</t>
  </si>
  <si>
    <t>2nd FY</t>
  </si>
  <si>
    <t xml:space="preserve">3rd FY* </t>
  </si>
  <si>
    <t>Ceinsys Tech Limited (fomerly ADCC Infocad limited)</t>
  </si>
  <si>
    <t>Kallam Textiles Limited (Formerly Kallam Spinning Mills Limited)</t>
  </si>
  <si>
    <t xml:space="preserve">1. Working Capital requirement- 298.30Lacs
 2. General Corporate Purposes-15.50 Lacs
3. Issue Expenses-16.20 Lacs   
</t>
  </si>
  <si>
    <t>(Rs. In Lakhs)</t>
  </si>
  <si>
    <t>Sanwaria  Consumers Ltd(Formerly known as Sanwaria Agro Oils Limited)</t>
  </si>
  <si>
    <t xml:space="preserve">1. Working Capital requirement- 1521.01 Lacs                                                                                                     
          2. Capital Expenditure: 127 Lacs
3. Sales and Marketing Expenses-150 Lacs                                                                                                      
           4. Public Issue expenses- 154.11 Lacs
5.   General Corporate Purpose:   480 Lacs                                                         </t>
  </si>
  <si>
    <t>1. Appointment of Mr Sulabh Jain as Non- Executive Director of the company w.e.f  September 01, 2018
2.  Appointment of Mr. Jatinder Pal Singh as Independent Director w.e.f. September 01, 2018
3. Appointment of Ms. Upasana Gupta as Independent Director w.e.f. September 01, 2018</t>
  </si>
  <si>
    <t>Appointment of Sanskar Kothari w.e.f. 16.07.2018</t>
  </si>
  <si>
    <t>Appintment of Saurav Gupta w.e.f. 11.06.2018</t>
  </si>
  <si>
    <t>No change</t>
  </si>
  <si>
    <t># as per the information provided by the company</t>
  </si>
  <si>
    <t># As per the information provided by the company</t>
  </si>
  <si>
    <t>Gian Life Care Limited</t>
  </si>
  <si>
    <t>Note: Since the company's share were listed on January 13, 2020 we are considering March 31, 2020 as the 1st Financial Year.</t>
  </si>
  <si>
    <t>SM AUTOSTAMPING LIMITED</t>
  </si>
  <si>
    <t>Rs. 691.20 lakhs</t>
  </si>
  <si>
    <t>Note: Since the company's share were listed on March 16, 2020 we are considering March 31, 2020 as the 1st Financial Year.</t>
  </si>
  <si>
    <t>Rs. 18</t>
  </si>
  <si>
    <t>At close of listing day (March 16, 2020)</t>
  </si>
  <si>
    <t xml:space="preserve">Peer Group: </t>
  </si>
  <si>
    <t>Omax Autos Limited</t>
  </si>
  <si>
    <t>Rasandik Engineering Industries (India)
Limited</t>
  </si>
  <si>
    <t xml:space="preserve">Autoline Industries Ltd. </t>
  </si>
  <si>
    <r>
      <t xml:space="preserve">Issuer: </t>
    </r>
    <r>
      <rPr>
        <sz val="10"/>
        <rFont val="Times New Roman"/>
        <family val="1"/>
      </rPr>
      <t>SM Auto Stamping Limited **</t>
    </r>
  </si>
  <si>
    <r>
      <t>Issuer:</t>
    </r>
    <r>
      <rPr>
        <sz val="10"/>
        <rFont val="Times New Roman"/>
        <family val="1"/>
      </rPr>
      <t xml:space="preserve"> SM Auto Stamping Limited **</t>
    </r>
  </si>
  <si>
    <t>**Source:  Prospectus dated February 25, 2020 based on restated summary statement for period ended on September 30, 2019</t>
  </si>
  <si>
    <t>HINDPRAKASH INDUSTRIES LIMITED</t>
  </si>
  <si>
    <t>Rs. 1152 lakhs</t>
  </si>
  <si>
    <t>Note: Since the company's share were listed on January 27, 2020 we are considering March 31, 2020 as the 1st Financial Year.</t>
  </si>
  <si>
    <t># Since the company's share were listed on January 27, 2020 hence the same will be soon updated</t>
  </si>
  <si>
    <t xml:space="preserve">1. To meet the Working Capital Requirements of the Company - Rs. 822.23 lakhs                                                                                                                                         2.To meet General Corporate Expense -Rs. 270.00 lakhs                                   
   3. Issue Expenses -Rs. 59.77 lakhs. </t>
  </si>
  <si>
    <t>Rs. 40</t>
  </si>
  <si>
    <t>At close of listing day (January 27, 2020)</t>
  </si>
  <si>
    <t>Camex Ltd</t>
  </si>
  <si>
    <r>
      <t xml:space="preserve">Issuer: </t>
    </r>
    <r>
      <rPr>
        <sz val="10"/>
        <rFont val="Times New Roman"/>
        <family val="1"/>
      </rPr>
      <t>Hindprakash Industries Limited</t>
    </r>
    <r>
      <rPr>
        <b/>
        <sz val="10"/>
        <rFont val="Times New Roman"/>
        <family val="1"/>
      </rPr>
      <t>**</t>
    </r>
  </si>
  <si>
    <t>Mahickra Chemicals Limited</t>
  </si>
  <si>
    <t>Shree Pushkar Chemicals &amp;
Fertilisers Limited</t>
  </si>
  <si>
    <t>**Source:  Prospectus dated January 07, 2020based on restated summary statement for period ended on September 30, 2019</t>
  </si>
  <si>
    <t>Rs. 311.52 lakhs</t>
  </si>
  <si>
    <t>**Source:  Prospectus dated December 18, 2019 based on restated summary statement for period ended on June 30, 2019</t>
  </si>
  <si>
    <r>
      <t xml:space="preserve">Issuer: </t>
    </r>
    <r>
      <rPr>
        <sz val="10"/>
        <rFont val="Times New Roman"/>
        <family val="1"/>
      </rPr>
      <t xml:space="preserve">Gian Life Care Limited </t>
    </r>
    <r>
      <rPr>
        <b/>
        <sz val="10"/>
        <rFont val="Times New Roman"/>
        <family val="1"/>
      </rPr>
      <t>**</t>
    </r>
  </si>
  <si>
    <t>Thyrocare Technologies Ltd</t>
  </si>
  <si>
    <t xml:space="preserve">Dr. Lal Path Labs Ltd </t>
  </si>
  <si>
    <t>Dr Lalchandani Labs</t>
  </si>
  <si>
    <t>At close of listing day (January 13, 2020)</t>
  </si>
  <si>
    <t>Rs. 22</t>
  </si>
  <si>
    <t># Since the company's share were listed on January 13, 2020 hence the same will be soon updated</t>
  </si>
  <si>
    <t>EARUM PHARMACEUTICALS LIMITED</t>
  </si>
  <si>
    <t>**Source:  Prospectus dated June 13, 2019 based on restated summary statement for period ended on  December 31, 2018</t>
  </si>
  <si>
    <t>Vaishali Pharma Ltd.</t>
  </si>
  <si>
    <r>
      <t xml:space="preserve">Issuer: </t>
    </r>
    <r>
      <rPr>
        <sz val="10"/>
        <rFont val="Times New Roman"/>
        <family val="1"/>
      </rPr>
      <t xml:space="preserve">Earum Pharmaceuticals Limited </t>
    </r>
    <r>
      <rPr>
        <b/>
        <sz val="10"/>
        <rFont val="Times New Roman"/>
        <family val="1"/>
      </rPr>
      <t>**</t>
    </r>
  </si>
  <si>
    <t>At close of listing day (July 07, 2019 )</t>
  </si>
  <si>
    <t>Rs. 36</t>
  </si>
  <si>
    <t># Since the company's share were listed on July 07, 2019 hence the same will be soon updated</t>
  </si>
  <si>
    <t>Rs. 665.28 lakhs</t>
  </si>
  <si>
    <t>(Rs. in Million)</t>
  </si>
  <si>
    <t xml:space="preserve">Appointment of Deepak Gadia w.e.f. 08.08.2020 </t>
  </si>
  <si>
    <t>Appintment of Nihal Sharma w.e.f. 18.07.2020</t>
  </si>
  <si>
    <t>1. Mr. Sant Kumar Joshi as Independent Director w.e.f. Arpil 22, 2019                                                                                                                                 2. Mr. Siddhartha Sengupta as Independent Director w.e.f. July 11, 2019</t>
  </si>
  <si>
    <t>No Data found</t>
  </si>
  <si>
    <t xml:space="preserve">No data  found </t>
  </si>
  <si>
    <t>No data found</t>
  </si>
  <si>
    <t>Infrequently traded</t>
  </si>
  <si>
    <t>1. Appoinment of Mr. Venkata Rama Mohan Gudapati as Whole time Director of the Company w.e.f May 29, 2019.                                                                                                                                                             2. Appoinment of Mr. Kumar Peruvemba Ramachandran as Director of the Company w.e.f  July 30, 2020.  3. Appoinment of Mr. Kameswara Rao Jagabathula as Director of the Company w.e.f August 29, 2019</t>
  </si>
  <si>
    <t>Appointment of Mr. Christopher Rodricks and Mr. Rajkumar Kaswani as a director w.e.f. 23.10.2020 and cessation of Mr. Anil Kamath w.e.f. 22.08.2020</t>
  </si>
  <si>
    <t>Appointment of Mr. Bhavik Patel as a director w.e.f. 12.09.2019 and cessation of Mr. Alpesh Purohit w.e.f. 12.09.2019</t>
  </si>
  <si>
    <t>Cessation of Mr. Bhavesh Patel w.e.f. 27.10.20 and Appointmnet of Mr. Piyush Agarwal as Director w.e.f. 27.10.2020, Cessation of SHIVRATAN SHRIGOPAL MUNDADA w.e.f. 26.09.2019</t>
  </si>
  <si>
    <t>Appointed Jatin Trivedi as a director w.e.f. 20.12.2019 and cessation of Hiren Patel w.e.f. 14.11.2019</t>
  </si>
  <si>
    <t>Infrequently</t>
  </si>
  <si>
    <t>will ne updated once the data uploaded on exchange</t>
  </si>
  <si>
    <t>Appointment of Sudeep Saxena as a  Director w.e.f. 03.02.2020 and cessation of Rajendra Nawal w.e.f. 19.12.2019</t>
  </si>
  <si>
    <t>Appointed Vipin Mittal as a director w.e.f. 31.07.2019 and cessation of Sita ram Gupta w.e.f. 19.02.2020</t>
  </si>
  <si>
    <t>No data fetch</t>
  </si>
  <si>
    <t>Appointment of Mr. Vijay Vohra as a Director w.e.f.16.01.2020, Appointment of Mr. Kamlesh Shah as a director w.e.f. 16.01.2020, Appoinmtnet of Mr. Sanjib Singh w.e.f. 16.04.2019, Appointment of Mr. Lavesh Goyal and Mr. Nilesh Shah as a Director w.e.f. 16.01.2020</t>
  </si>
  <si>
    <t>1.26 Times</t>
  </si>
  <si>
    <t>Suratwwala Business Group Limited</t>
  </si>
  <si>
    <t>Rs. 690 lakhs</t>
  </si>
  <si>
    <t>1.245 Times</t>
  </si>
  <si>
    <t xml:space="preserve">1. To meet the Working Capital Requirements of the Company - Rs. 560.00 lakhs                                                                                                                                         2.To meet General Corporate Expense -Rs. 60.50 lakhs
3. To meet Issue Expenses- Rs. 69.50 lakhs         </t>
  </si>
  <si>
    <t># Since the company's share were listed on August 13, 2020 hence the same will be soon updated</t>
  </si>
  <si>
    <t>Rs. 15</t>
  </si>
  <si>
    <t>At close of listing day (August 13, 2020)</t>
  </si>
  <si>
    <r>
      <t xml:space="preserve">Issuer: </t>
    </r>
    <r>
      <rPr>
        <sz val="10"/>
        <rFont val="Times New Roman"/>
        <family val="1"/>
      </rPr>
      <t>Suratwwala Business Group Limited **</t>
    </r>
  </si>
  <si>
    <t xml:space="preserve">Ajmera Realty &amp; Infra India Ltd. </t>
  </si>
  <si>
    <t xml:space="preserve">Arihant Foundations &amp; Housing Ltd. </t>
  </si>
  <si>
    <t>Art Nirman Ltd.</t>
  </si>
  <si>
    <t>Kolte Patil Developers Ltd.</t>
  </si>
  <si>
    <t>Puravankara Ltd.</t>
  </si>
  <si>
    <t>**Source:  Prospectus dated July 27, 2020 based on restated summary statement for period ended on March 31, 2020</t>
  </si>
  <si>
    <t xml:space="preserve">Resignation of Mr. Milind V. Kulkarni w.e.f April 07, 2021
</t>
  </si>
  <si>
    <t>As at the end of 1st FY after the listing of the issue (2018-19)</t>
  </si>
  <si>
    <t>As at the end of 2nd FY after the listing of the issue 19-20</t>
  </si>
  <si>
    <t>As at the end of 3rd FY after the listing of the issue 20-21</t>
  </si>
  <si>
    <t>Resignation of Mr. Harshil Jayeshbhai Shah as  Director w.e.f. June 30, 2020</t>
  </si>
  <si>
    <t>Resignation of Ms. Rutvi Jayeshbhai Shah as Non-Executive Director w.e.f 30/06/2020</t>
  </si>
  <si>
    <t xml:space="preserve">Funding the Working Capital Requirements of the Company - 510 Lacs.                                                                                      Repayment of Unsecured Loan availed by our Company -200 Lacs                                                                General Corporate Expense -232.55Lacs.                                      Issue Expenses -68.33 Lacs. </t>
  </si>
  <si>
    <t xml:space="preserve">Funding the Working Capital Requirements of the Company - 510 Lacs.                                                                                      Repayment of Unsecured Loan availed by our Company -200 Lacs                                                                General Corporate Expense -232.55Lacs.                                                                                                                      Issue Expenses -68.33 Lacs. </t>
  </si>
  <si>
    <t>Temporarily Suspended</t>
  </si>
  <si>
    <t>SHRI VENKATESH REFINERIES LIMITED</t>
  </si>
  <si>
    <t>Rs. 1171.20 lakhs</t>
  </si>
  <si>
    <t>2.8012 Times</t>
  </si>
  <si>
    <t>N.A</t>
  </si>
  <si>
    <t>Source; MCA Portal &amp; Information provided by the Company.</t>
  </si>
  <si>
    <t># Since the company's share were listed on October 11, 2021 hence the same will be soon updated</t>
  </si>
  <si>
    <t xml:space="preserve">1. To meet Working Capital requirements - Rs. 878.40 lakhs                                                                                                                                         2.General Corporate Purpose - Rs. 146.43 lakhs                                                                          3. To meet issue expenses - Rs. 146.37 lakhs                                                      </t>
  </si>
  <si>
    <t>Not Applicable as the issue size was less than Rs.1,000 million</t>
  </si>
  <si>
    <t>At close of listing day                   (October 11, 2021)</t>
  </si>
  <si>
    <r>
      <t xml:space="preserve">Issuer: </t>
    </r>
    <r>
      <rPr>
        <sz val="10"/>
        <rFont val="Times New Roman"/>
        <family val="1"/>
      </rPr>
      <t>Shri Venkatesh Refineries Limited**</t>
    </r>
  </si>
  <si>
    <t>Gokul Agro Resources Ltd</t>
  </si>
  <si>
    <t>BCL Industries Ltd</t>
  </si>
  <si>
    <t>Vijay Solvex Ltd</t>
  </si>
  <si>
    <t>Ajanta Soya Ltd</t>
  </si>
  <si>
    <t>**Source:  Prospectus dated September 23, 2021 based on restated summary statement for period ended on March 31, 2021</t>
  </si>
  <si>
    <t>Note: Since the company's share were listed on October 11, 2021. we will be considering March 31, 2022 as the 1st Financial Year.</t>
  </si>
  <si>
    <t>1. Appointment of Mr. Kaustubh Narayan Karwe as Director w.e.f. September 23, 2019                                      2. Resignation of Mr. Dattatreya Pendyal as Non-Executive Director w.e.f March 18, 2020</t>
  </si>
  <si>
    <t>1. Resignation of Mr. Narottam V. Joshi as Independent Director w.e.f September 14, 2020                                 2. Resignation of Mr. Jeendru V. Reddy as Independent Director w.e.f January 15, 2021 3. Appointment of Mr. Sunil Punamchand Jain as Additional Director w.e.f February 15, 2021</t>
  </si>
  <si>
    <t>As at the end of 1st FY after the listing of the issue FY 18-19</t>
  </si>
  <si>
    <t>As at the end of 2nd FY after the listing of the issue FY 19-20</t>
  </si>
  <si>
    <t>As at the end of 1st FY after the listing of the issue FY 19-20</t>
  </si>
  <si>
    <t>As at the end of 2nd FY after the listing of the issue FY 20-21</t>
  </si>
  <si>
    <t>Appointment of Krishna Pal singh w.e.f 1/04/2022</t>
  </si>
  <si>
    <t xml:space="preserve">1. Working Capital Requirements of the Company - Rs. 111.00 lakhs                                                                                                                                         2. General Corporate Expense -Rs. 37 lakhs                                      3. Issue Expenses -Rs. 45.44 lakhs. </t>
  </si>
  <si>
    <t xml:space="preserve">1. To meet the Working Capital Requirements of the Company - Rs. 111.00 lakhs
 2.To meet General  Corporate Expense -Rs. 37 lakhs  
  3. Issue Expenses -Rs. 45.44 lakhs. </t>
  </si>
  <si>
    <t xml:space="preserve">1. Working Capital Requirements of the Company - Rs. 111.00 lakhs                                                                                                                                         2. General Corporate Expense -Rs. 37 lakhs                                                                                                                          3. Issue Expenses -Rs. 45.44 lakhs. </t>
  </si>
  <si>
    <t>1.60 times</t>
  </si>
  <si>
    <t xml:space="preserve"> appointment of Parimal Suryakant Patwa w.e.f 27/08/2021, Dahayabhai Mafatlal Patel w.e.f 10/06/2021 ,Bhavesh Nareshbhai Sonsera and Harsh Kothari w.e.f 7/09/2021</t>
  </si>
  <si>
    <t xml:space="preserve">1. To meet the Working Capital Requirements of the Company - Rs. 500.00 lakhs
 2.To meet General  Corporate Expense -Rs. 86.32 lakhs                                                                                               3. Issue Expenses - Rs 78.96   </t>
  </si>
  <si>
    <t>As at the end of 1st FY after the listing of the FY 19-20</t>
  </si>
  <si>
    <t>1.34 times</t>
  </si>
  <si>
    <t xml:space="preserve">Appointed Abhiram Saran Agarwal and Umang Gupta w.e.f. 25/02/2020 </t>
  </si>
  <si>
    <t xml:space="preserve">To open processing center in nearby cites of Kanpur (Jhansi, Banda, Faizabad, Unnao)                                                                                                                                  2. To purchase advanced machinery and equipment                                       
3. Repayment/pre-payment, of certain borrowings availed by the Company                                                   4. Issue Expenses                                                                      </t>
  </si>
  <si>
    <t>1. To open processing center in nearby cites of Kanpur (Jhansi, Banda, Faizabad, Unnao) - Rs. 86.40 lakhs                                                                                                                                         2. To purchase advanced machinery and equipment  -Rs. 100.29 lakhs                                      
3. Repayment/pre-payment, of certain borrowings availed by the Company s -Rs. 78.72 lakhs.                        4. Issue Expenses - Rs 46.11 lakhs</t>
  </si>
  <si>
    <t>2.16 Times</t>
  </si>
  <si>
    <t>Rushabh Anilkumar Shah and Apeksha Sanjaykumar Shah appointed as director w.e.f 20/01/22</t>
  </si>
  <si>
    <t>No Record Found</t>
  </si>
  <si>
    <t>Infrequently Traded</t>
  </si>
  <si>
    <t>Mr. Jayant Suresh Fegde apointed a s director w.e.f 22.07.2020</t>
  </si>
  <si>
    <t>Mr. Vinayak Mahadeo Govilkar apointed a s director w.e.f 16.03.2022</t>
  </si>
  <si>
    <t xml:space="preserve">1. To meet the Working Capital Requirements of the Company - Rs. 500.00 lakhs                                                                                                                                         2.To meet General Corporate Expense -Rs. 89.83 lakhs   3. Issue Expenses -  Rs 101.37                                  </t>
  </si>
  <si>
    <t xml:space="preserve">Working Capital Requirements of the Company - Rs. 500.00 lakhs                                                                                                                                         General Corporate Expense -Rs. 89.83 lakhs                          Issue Expenses -  Rs 101.37                                  </t>
  </si>
  <si>
    <t xml:space="preserve">1. To meet the Working Capital Requirements of the Company - Rs. 500.00 lakhs                                                                                                                                         2.To meet General Corporate Expense -Rs. 89.83 lakhs                                                                                                         3. Issue Expenses -  Rs 101.37                                                                 </t>
  </si>
  <si>
    <t xml:space="preserve">Working Capital Requirements of the Company - Rs. 500.00 lakhs                                                                                                                                         General Corporate Expense -Rs. 89.83 lakhs                                                                                                                Issue Expenses -  Rs 101.37  </t>
  </si>
  <si>
    <t>High                (during the FY)</t>
  </si>
  <si>
    <t>Index (of the Designated Stock Exchange): BSE Senxex</t>
  </si>
  <si>
    <t>Nil.</t>
  </si>
  <si>
    <t>As at the end of 1st FY after the listing of the issue FY 20-21</t>
  </si>
  <si>
    <t>KNOWLEDGE MARINE &amp; ENGINEERING WORKS LIMITED</t>
  </si>
  <si>
    <t>1012.32 lakhs</t>
  </si>
  <si>
    <t>2.67 times</t>
  </si>
  <si>
    <t>Appointed Jagat Jiban Biswas w.e.f. 7/01/2022</t>
  </si>
  <si>
    <t xml:space="preserve">1. To meet the Working Capital Requirements of the Company - Rs. 760.00 lakhs                                                                                                                                         2.To meet General Corporate Expense -Rs. 147.21 lakhs                                     3. Issue Related Expenses - Rs. 105.11                    </t>
  </si>
  <si>
    <t>Rs. 37</t>
  </si>
  <si>
    <t>At close of listing day                   (March 22, 2021)</t>
  </si>
  <si>
    <r>
      <t xml:space="preserve">Issuer: </t>
    </r>
    <r>
      <rPr>
        <sz val="10"/>
        <rFont val="Times New Roman"/>
        <family val="1"/>
      </rPr>
      <t>KMEW **</t>
    </r>
  </si>
  <si>
    <t xml:space="preserve">Dredging Corporation of
Indian Limited </t>
  </si>
  <si>
    <t>**Source:  Prospectus dated March 02, 2021 based on restated summary statement for period ended on September 30, 2020</t>
  </si>
  <si>
    <t>EKI ENERGY SERVICES LIMITED</t>
  </si>
  <si>
    <t>Rs. 1860.48 lakhs</t>
  </si>
  <si>
    <t xml:space="preserve">1. To meet the Working Capital Requirements of the Company - Rs. 1400.00 lakhs                                                                                                                                         2.To meet General Corporate Expense -Rs. 278.78 lakhs                                     3. Issue Related Expenses - Rs. 181.70                            </t>
  </si>
  <si>
    <t>Rs. 102</t>
  </si>
  <si>
    <t>At close of listing day                   (April 07, 2021)</t>
  </si>
  <si>
    <r>
      <t xml:space="preserve">Issuer: </t>
    </r>
    <r>
      <rPr>
        <sz val="10"/>
        <rFont val="Times New Roman"/>
        <family val="1"/>
      </rPr>
      <t>EKI Energy Services Ltd **</t>
    </r>
  </si>
  <si>
    <t>Mitcon Consultancy and Engineering Services Limited</t>
  </si>
  <si>
    <t>**Source:  Prospectus dated March 31, 2021 based on restated summary statement for period ended on September 30, 2020</t>
  </si>
  <si>
    <t>Note: Since the company's share were listed on April 07, 2021 we will be considering March 31, 2022 as the 1st Financial Year.</t>
  </si>
  <si>
    <t>Rs.  448.50 lakhs</t>
  </si>
  <si>
    <t xml:space="preserve">Working Capital Requirement                                                       Make investment in our Subsidiary Company, Dudigital Global LLC                                                      General Corporate Purposes                                                  Issue expenses                                                                           </t>
  </si>
  <si>
    <t xml:space="preserve">1. To meet the Working Capital Requirements of the Company - Rs. 151.50 Lakhs                                  2.   To make investment in our Subsidiary Company, Dudigital Global LLC -Rs. 140.00 Lakhs                                                                                                                                    3.To meet General Corporate Expense -Rs. 110.00 lakhs                                                                                     4. Issue Related Expenses - Rs. 47.00 Lakhs                            </t>
  </si>
  <si>
    <t>Rs.65</t>
  </si>
  <si>
    <t>At close of listing day                                           (August 26, 2021)</t>
  </si>
  <si>
    <t>At close of 30th calendar day from listing day (24 september, 2021)</t>
  </si>
  <si>
    <t>At close of 90th calendar day from listing day (23rd November, 2021)</t>
  </si>
  <si>
    <t>Index (of the Designated Stock Exchange): CNX/ NIFTY50</t>
  </si>
  <si>
    <r>
      <rPr>
        <b/>
        <sz val="10"/>
        <rFont val="Times New Roman"/>
        <family val="1"/>
      </rPr>
      <t>Issuer:</t>
    </r>
    <r>
      <rPr>
        <sz val="10"/>
        <rFont val="Times New Roman"/>
        <family val="1"/>
      </rPr>
      <t xml:space="preserve"> DU DIGITAL TECHNOLOGIES LIMITED **</t>
    </r>
  </si>
  <si>
    <t>BLS International Services
Limited</t>
  </si>
  <si>
    <r>
      <t xml:space="preserve">Issuer: </t>
    </r>
    <r>
      <rPr>
        <sz val="10"/>
        <rFont val="Times New Roman"/>
        <family val="1"/>
      </rPr>
      <t>DU DIGITAL TECHNOLOGIES LIMITED**</t>
    </r>
  </si>
  <si>
    <r>
      <t xml:space="preserve">Issuer: </t>
    </r>
    <r>
      <rPr>
        <sz val="10"/>
        <rFont val="Times New Roman"/>
        <family val="1"/>
      </rPr>
      <t>DU DIGITAL TECHNOLOGIES LIMITED*</t>
    </r>
  </si>
  <si>
    <t xml:space="preserve">BLS International Services
Limited </t>
  </si>
  <si>
    <t>Note: Since the company's share were listed on 26-Aug-2021 we will be considering March 31, 2022 as the 1st Financial Year.</t>
  </si>
  <si>
    <t>PREVEST DENPRO LIMITED</t>
  </si>
  <si>
    <t>Rs. 2661.12 lakhs</t>
  </si>
  <si>
    <t># Since the company's share were listed on September 27, 2021 hence the same will be soon updated</t>
  </si>
  <si>
    <t>Rs. 84/-</t>
  </si>
  <si>
    <t>At close of listing day                   (September 27, 2021)</t>
  </si>
  <si>
    <r>
      <t xml:space="preserve">Issuer: </t>
    </r>
    <r>
      <rPr>
        <sz val="10"/>
        <rFont val="Times New Roman"/>
        <family val="1"/>
      </rPr>
      <t>Prevest Denpro Limited**</t>
    </r>
  </si>
  <si>
    <t>3M India Limited</t>
  </si>
  <si>
    <t>**Source:  Prospectus dated September 21, 2021 based on restated summary statement for period ended on March 31, 2021</t>
  </si>
  <si>
    <t>Note: Since the company's share were listed on September 27, 2021. we will be considering March 31, 2022 as the 1st Financial Year.</t>
  </si>
  <si>
    <t>JAINAM FERRO ALLOYS (I) LIMITED</t>
  </si>
  <si>
    <t>Rs.  1961.40 l lakhs</t>
  </si>
  <si>
    <t>6.29 Times</t>
  </si>
  <si>
    <t xml:space="preserve">No change </t>
  </si>
  <si>
    <t xml:space="preserve">Working Capital Requirement                                                                                                             General Corporate Purposes                                                  Offer expenses                                                                           </t>
  </si>
  <si>
    <t># Since the company's share were listed on 08-Oct-2021 hence the same will be soon updated</t>
  </si>
  <si>
    <t>1. To meet the Working Capital Requirements of the Company - Rs. 677.60 Lakhs                                                                                                                                                                   2.To meet General Corporate Expense -Rs. 185.00 lakhs
          3. Issue Related Expenses - Rs. 48.80 Lakhs</t>
  </si>
  <si>
    <t>Offer price (Rs):</t>
  </si>
  <si>
    <t>Rs 70</t>
  </si>
  <si>
    <t>At close of listing day                (08-Oct-2021)</t>
  </si>
  <si>
    <r>
      <rPr>
        <b/>
        <sz val="10"/>
        <rFont val="Times New Roman"/>
        <family val="1"/>
      </rPr>
      <t>Issuer:</t>
    </r>
    <r>
      <rPr>
        <sz val="10"/>
        <rFont val="Times New Roman"/>
        <family val="1"/>
      </rPr>
      <t xml:space="preserve"> Jainam Ferro Alloys (I) Limited  **</t>
    </r>
  </si>
  <si>
    <t>Maithan Alloys Ltd</t>
  </si>
  <si>
    <t>Shyam Century Ferrous Limited</t>
  </si>
  <si>
    <t>Note: Since the company's share were listed on 08-Oct-2021 we will be considering March 31, 2022 as the 1st Financial Year.</t>
  </si>
  <si>
    <t>KN AGRI RESOURCES LIMITED</t>
  </si>
  <si>
    <r>
      <t xml:space="preserve">Issuer: </t>
    </r>
    <r>
      <rPr>
        <sz val="10"/>
        <rFont val="Times New Roman"/>
        <family val="1"/>
      </rPr>
      <t>Kn Agri Resource Limited</t>
    </r>
  </si>
  <si>
    <r>
      <t xml:space="preserve">Issuer: </t>
    </r>
    <r>
      <rPr>
        <sz val="10"/>
        <rFont val="Times New Roman"/>
        <family val="1"/>
      </rPr>
      <t xml:space="preserve"> Kn Agri Resource Limited</t>
    </r>
  </si>
  <si>
    <t>Ruchi Soya Industries Limited</t>
  </si>
  <si>
    <t>Gujarat Ambuja Exports Limited</t>
  </si>
  <si>
    <t>Rs. 75/-</t>
  </si>
  <si>
    <t>At close of listing day                   (March 28, 2022)</t>
  </si>
  <si>
    <t>Note: Since the company's share were listed on March 28, 2022. we will be considering March 31, 2022 as the 1st Financial Year.</t>
  </si>
  <si>
    <t xml:space="preserve">Krishna Defence and Allied Industries Limited
</t>
  </si>
  <si>
    <t>Rs. 39/-</t>
  </si>
  <si>
    <t>Note: Since the company's share were listed on April 6, 2022. we will be considering March 31, 2023 as the 1st Financial Year.</t>
  </si>
  <si>
    <t>At close of listing day                   (April 6, 2022)</t>
  </si>
  <si>
    <t># Since the company's share were listed on April 6, 2022 hence the same will be soon updated</t>
  </si>
  <si>
    <r>
      <t>Issuer:</t>
    </r>
    <r>
      <rPr>
        <sz val="10"/>
        <rFont val="Times New Roman"/>
        <family val="1"/>
      </rPr>
      <t>Krishna Defence and Allied Industries Limited</t>
    </r>
  </si>
  <si>
    <t xml:space="preserve">EIGHTY JEWELLERS LIMITED </t>
  </si>
  <si>
    <t>Rs. 1107 lakhs</t>
  </si>
  <si>
    <t>Rs. 41/-</t>
  </si>
  <si>
    <t>Patdiam Jewellery Ltd</t>
  </si>
  <si>
    <t>Radhika Jeweltech Ltd</t>
  </si>
  <si>
    <t>DP Abhushan Ltd</t>
  </si>
  <si>
    <t>PC Jewellers Ltd</t>
  </si>
  <si>
    <t>Kalyan Jewellers India Ltd</t>
  </si>
  <si>
    <t>Issuer: Eighty Jewellers limited**</t>
  </si>
  <si>
    <t>At close of listing day                  April 13, 2022)</t>
  </si>
  <si>
    <t>**Source:  Prospectus dated March 22, 2022 based on restated summary statement for period ended on March 31, 2022</t>
  </si>
  <si>
    <t>Note: Since the company's share were listed on April 13, 2022. we will be considering March 31, 2023 as the 1st Financial Year.</t>
  </si>
  <si>
    <t xml:space="preserve">1. To meet the Working Capital Requirements of the Company - Rs. 4000 Lakhs                                                                                                                                                                      2.To meet General Corporate Expense -Rs. 467.54
 lakhs                                                                                     3. Issue Related Expenses - Rs. 470.46 Lakhs     </t>
  </si>
  <si>
    <t xml:space="preserve">1. To meet Working Capital requirements - Rs. 4000 lakhs                                                                                                                                         2.General Corporate Purpose - Rs. 467.54 lakhs                                                                          3. To meet issue expenses - Rs. 470.46 lakhs                                                      </t>
  </si>
  <si>
    <t xml:space="preserve">1. To meet the Working Capital Requirements of the Company - Rs. 900 Lakhs                                                                                                                                                                      2.To meet General Corporate Expense -Rs. 171.19
 lakhs                                                                                     3. Issue Related Expenses - Rs. 117.53 Lakhs     </t>
  </si>
  <si>
    <t xml:space="preserve">1. To meet Working Capital requirements - Rs. 900 lakhs                                                                                                                                         2.General Corporate Purpose - Rs. 171.19 lakhs                                                                          3. To meet issue expenses - Rs. 117.53lakhs                                                      </t>
  </si>
  <si>
    <t xml:space="preserve">SILICON RENTAL SOLUTIONS LIMITED
 </t>
  </si>
  <si>
    <t>Rs. 2115.36 lakhs</t>
  </si>
  <si>
    <t xml:space="preserve">1. Working Capital Requirement   
2. Prepayment or repayment of all or a portion of certain outstanding borrowings availed by our Company;
3. General Corporate Purposes                                                  4. Issue expenses                                                                           </t>
  </si>
  <si>
    <t xml:space="preserve">1. To meet the Working Capital Requirements of the Company - Rs. 854.78 Lakhs  
2. Prepayment or repayment of all or a portion of certain outstanding borrowings availed
by our Company- Rs. 850.00 lakhs                                                                                                                                                                    3.To meet General Corporate Expense -Rs. 258.74
 lakhs                                                                                     4. Issue Related Expenses - Rs. 151.84 Lakhs     </t>
  </si>
  <si>
    <t># Since the company's share were listed on October 10, 2022 hence the same will be soon updated</t>
  </si>
  <si>
    <t xml:space="preserve">1. To meet the Working Capital Requirements of the Company - Rs. 854.78 Lakhs  
2. Prepayment or repayment of all or a portion of certain outstanding borrowings availed by our Company- Rs. 850.00 lakhs                                                                                                                                                                    3.To meet General Corporate Expense -Rs. 258.74 lakhs                                                                                     4. Issue Related Expenses - Rs. 151.84 Lakhs     </t>
  </si>
  <si>
    <t>Rs. 78/-</t>
  </si>
  <si>
    <t>At close of listing day                  October 10, 2022)</t>
  </si>
  <si>
    <t>Issuer: Silicon Rental Solutions Limited**</t>
  </si>
  <si>
    <t xml:space="preserve">Peer Group:* </t>
  </si>
  <si>
    <t>**Source:  Prospectus dated September 22, 2022 based on restated summary statement for period ended on March 31, 2023</t>
  </si>
  <si>
    <t>*Note : There are no listed companies in India that are engaged in a business similar to that of our company accordingly it is not possible to provide an industry comparison in relation to our company.</t>
  </si>
  <si>
    <t>Note: Since the company's share were listed on October 10, 2022. we will be considering March 31, 2023 as the 1st Financial Year.</t>
  </si>
  <si>
    <t>CARGOSOL LOGISTICS LIMITED</t>
  </si>
  <si>
    <t>756.00 lakhs</t>
  </si>
  <si>
    <t>52.714 times</t>
  </si>
  <si>
    <t xml:space="preserve">Purchase of vehicle for commercial purpose; Purchase of Containers for expansion of the Non Vessel Owning Common Carrier (NVOCC) division;                 To meet working capital requirements;                         General Corporate Purpose;                                                 To meet issue expenses                                                                      </t>
  </si>
  <si>
    <t xml:space="preserve">1. Purchase of vehicle for commercial purpose- Rs.233.42 lakhs                              2. Purchase of Containers for expansion of the Non Vessel Owning Common Carrier (NVOCC) division- Rs.206.39 lakhs                                          3. To meet working capital requirements-- Rs.200.00 lakhs                                                   4. General Corporate Purpose-- Rs.28.77 lakhs                                                   5. To meet issue expenses- Rs.87.42 lakhs                              </t>
  </si>
  <si>
    <t xml:space="preserve">1. Purchase of vehicle for commercial purpose- Rs.233.42 lakhs                                                           2. Purchase of Containers for expansion of the Non Vessel Owning Common Carrier (NVOCC) division- Rs.206.39 lakhs                                                                                                         3. To meet working capital requirements-- Rs.200.00 lakhs                                                                             4. General Corporate Purpose-- Rs.28.77 lakhs                                                                                                5. To meet issue expenses- Rs.87.42 lakhs                 </t>
  </si>
  <si>
    <t>Rs. 28</t>
  </si>
  <si>
    <t>At close of listing day                   (October 10, 2022)</t>
  </si>
  <si>
    <r>
      <t xml:space="preserve">Issuer: </t>
    </r>
    <r>
      <rPr>
        <sz val="10"/>
        <rFont val="Times New Roman"/>
        <family val="1"/>
      </rPr>
      <t>Cargosol Logistics Ltd**</t>
    </r>
  </si>
  <si>
    <t>Ritco Logistics Ltd</t>
  </si>
  <si>
    <t>Allcargo Logistics Ltd</t>
  </si>
  <si>
    <t>Mahindra Logistics Ltd</t>
  </si>
  <si>
    <t>**Source:  Prospectus dated September 22, 2022 based on restated summary statement for financial year ended  on March 31, 2022</t>
  </si>
  <si>
    <t>Note: Since the company's share were listed on October 10, 2022 we will be considering March 31, 2023 as the 1st Financial Year.</t>
  </si>
  <si>
    <t>VEDANT ASSET LIMITED</t>
  </si>
  <si>
    <t>300.00 lakhs</t>
  </si>
  <si>
    <t>46.852 times</t>
  </si>
  <si>
    <t xml:space="preserve">Financing the expenditure for Business Expansion;                 To meet working capital requirements;                         General Corporate Purpose;                                                 To meet issue expenses                                                                      </t>
  </si>
  <si>
    <t xml:space="preserve">1. Financing the expenditure for Business Expansion;  - Rs.107.40 lakhs                                                               2. To meet working capital requirements- Rs.130.00 lakhs ;                                                  3. General Corporate Purpose- Rs.21.60 lakhs ;                                                                     4. To meet issue expenses - Rs.41.00 lakhs                                                                      </t>
  </si>
  <si>
    <t xml:space="preserve">1. Financing the expenditure for Business Expansion;  - Rs.107.40 lakhs                                                               2. To meet working capital requirements- Rs.130.00 lakhs ;                                                                           3. General Corporate Purpose- Rs.21.60 lakhs ;                                                                                               4. To meet issue expenses - Rs.41.00 lakhs                   </t>
  </si>
  <si>
    <t>At close of listing day                   (October 12, 2022)</t>
  </si>
  <si>
    <t xml:space="preserve">60,613.70
</t>
  </si>
  <si>
    <r>
      <t xml:space="preserve">Issuer: </t>
    </r>
    <r>
      <rPr>
        <sz val="10"/>
        <rFont val="Times New Roman"/>
        <family val="1"/>
      </rPr>
      <t>Vedant Asset Limited**</t>
    </r>
  </si>
  <si>
    <t>Peer Group: *</t>
  </si>
  <si>
    <t>**Source:  Prospectus dated September 26, 2022 based on restated summary statement for financial year ended  on March 31, 2022</t>
  </si>
  <si>
    <t>*:- There are no listed companies in India that are engaged in a business similar to that of our company accordingly it is not possible to provide an industry comparison in relation to our company.</t>
  </si>
  <si>
    <t>Note: Since the company's share were listed on October 12, 2022 we will be considering March 31, 2023 as the 1st Financial Year.</t>
  </si>
  <si>
    <t>LLOYDS LUXURIES LIMITED</t>
  </si>
  <si>
    <t>Initial Public Offering (IPO) on SME Platform of NSE (“NSE Emerge”).</t>
  </si>
  <si>
    <t>2400.00 lakhs</t>
  </si>
  <si>
    <t>6.39 times</t>
  </si>
  <si>
    <t>*Will be updated once the company makes necessary disclosures on the website of NSE</t>
  </si>
  <si>
    <t xml:space="preserve">Financing the expenditure for opening new stores   To repay of short term borrowings                                     To meet working capital requirements;                         General Corporate Purpose;                                                 To meet issue expenses                                                                      </t>
  </si>
  <si>
    <t># Since the company's share were listed on October 11, 2022 hence the same will be soon updated</t>
  </si>
  <si>
    <t>At close of listing day                   (October 11, 2022)</t>
  </si>
  <si>
    <t>Index (of the Designated Stock Exchange): CNX/NIFTY 50</t>
  </si>
  <si>
    <r>
      <t xml:space="preserve">Issuer: </t>
    </r>
    <r>
      <rPr>
        <sz val="10"/>
        <rFont val="Times New Roman"/>
        <family val="1"/>
      </rPr>
      <t>Lloyds Luxuries Limited**</t>
    </r>
  </si>
  <si>
    <t>**Source:  Prospectus dated September 21, 2022 based on restated summary statement for financial year ended  on March 31, 2022</t>
  </si>
  <si>
    <t>Note: Since the company's share were listed on October 11, 2022 we will be considering March 31, 2023 as the 1st Financial Year.</t>
  </si>
  <si>
    <t>Not Applicable as the issue size was less than Rs. 1000 million</t>
  </si>
  <si>
    <t>Not Applicable as the issue size was less than Rs.  1000 million</t>
  </si>
  <si>
    <t>1st FY*</t>
  </si>
  <si>
    <t>3rd FY*</t>
  </si>
  <si>
    <t>Source; Will be updated MCA Portal &amp; Information provided by the Company.</t>
  </si>
  <si>
    <t># Since the company's share were listed on April 13, 2022 hence the same will be soon updated</t>
  </si>
  <si>
    <t>Not Applicable as the issue size was less than Rs. 1000 Miliion</t>
  </si>
  <si>
    <t>Not Applicable as the issue size was less than Rs. 1000 Million</t>
  </si>
  <si>
    <t xml:space="preserve">1. To meet the Working Capital Requirements of the Company - Rs. 1400.00 lakhs                                                                                                                                         2.To meet General Corporate Expense -Rs. 278.78 lakhs                                                           
3. Issue Related Expenses - Rs. 181.70                                                             </t>
  </si>
  <si>
    <t xml:space="preserve">Mr. Diganta Das, resigned from the post of Chief Financial Officer w.e.f. January 30, 2021 and Ms. Ruchi Mehta was appointed as a Chief Financial Officer w.e.f. March 08, 2021. </t>
  </si>
  <si>
    <t xml:space="preserve"> Ms. Sonali Sheikh, Whole Time Director and Chief Financial Officer (CFO) of the Company resigned as CFO of the Company with effect from October 1, 2021 and 
Appointment of Mr. Mohit Kumar Agarwal as CFO (KMP) w.e.f. October 01, 2021</t>
  </si>
  <si>
    <t>(ii) at the end of the 1st half year immediately after the listing of the issue (September 30 2021)</t>
  </si>
  <si>
    <t>(ii) at the end of the 1st half year immediately after the listing of the issue (September 30, 2020)</t>
  </si>
  <si>
    <t>(ii) at the end of the 1st half year immediately after the listing of the issue September 30, 2021)</t>
  </si>
  <si>
    <t xml:space="preserve">1. To meet the Working Capital Requirements of the Company - Rs. 151.50 Lakhs                                 
 2.   To make investment in our Subsidiary Company, Dudigital Global LLC -Rs. 140.00 Lakhs                                                                                                                                    3.To meet General Corporate Expense -Rs. 110.00 lakhs                                                                                     4. Issue Related Expenses - Rs. 47.00 Lakhs                                                                                      </t>
  </si>
  <si>
    <t>(ii) at the end of the 1st half year immediately after the listing of the issue (September 30, 2021)</t>
  </si>
  <si>
    <t>(ii) at the end of the 1st half year immediately after the listing of the issue (March 31, 2022)</t>
  </si>
  <si>
    <t>(ii) at the end of the 1st half year immediately after the listing of the issue (September 30, 2022)</t>
  </si>
  <si>
    <t>1188.72 lakhs</t>
  </si>
  <si>
    <t>CARGOTRANS MARITIME LIMITED</t>
  </si>
  <si>
    <t>486.00 lakhs</t>
  </si>
  <si>
    <t>138.40 times</t>
  </si>
  <si>
    <t xml:space="preserve">1. To meet the Working Capital Requirements of the Company - Rs. 350.00 lakhs                                                                                                                                         2.To meet General Corporate Expense -Rs. 66.00 lakhs                                      3. Issue Related Expenses - Rs. 70.00 lakhs                    </t>
  </si>
  <si>
    <t>Not Applicable as the issue size was less than Rs. 100 crores</t>
  </si>
  <si>
    <t>Rs. 45</t>
  </si>
  <si>
    <r>
      <t xml:space="preserve">Issuer: </t>
    </r>
    <r>
      <rPr>
        <sz val="10"/>
        <rFont val="Times New Roman"/>
        <family val="1"/>
      </rPr>
      <t>Cargotrans Maritime Limited</t>
    </r>
  </si>
  <si>
    <t>will be updated at the end of 2nd FY</t>
  </si>
  <si>
    <t>Accuracy Shipping Limited</t>
  </si>
  <si>
    <t>Tiger Logistics India Limited</t>
  </si>
  <si>
    <t>Allcargo Logistics Limited</t>
  </si>
  <si>
    <t>Total Transport Systems Limited</t>
  </si>
  <si>
    <t>Allcargo Logistics Ltd.</t>
  </si>
  <si>
    <r>
      <t xml:space="preserve">Issuer: </t>
    </r>
    <r>
      <rPr>
        <sz val="10"/>
        <rFont val="Times New Roman"/>
        <family val="1"/>
      </rPr>
      <t>Cargotrans Maritime Limited</t>
    </r>
    <r>
      <rPr>
        <b/>
        <sz val="10"/>
        <rFont val="Times New Roman"/>
        <family val="1"/>
      </rPr>
      <t xml:space="preserve"> </t>
    </r>
  </si>
  <si>
    <t>Peer Group:##</t>
  </si>
  <si>
    <t>**Source:  Prospectus dated September 21, 2022 based on restated summary statement for period ended on March 31, 2022</t>
  </si>
  <si>
    <t>## NAV of the Peer Group not mentioned in Prospectus. That is why we extract data from their Annual Report for FY 2021-22.</t>
  </si>
  <si>
    <t xml:space="preserve">1. To meet the Working Capital Requirements of the Company - Rs. 350.00 lakhs                                                                                                                                         2.To meet General Corporate Expense -Rs. 66.00 lakhs                                      
3. Issue Related Expenses - Rs. 70.00 lakhs                    </t>
  </si>
  <si>
    <t>Not Applicable</t>
  </si>
  <si>
    <t>CONCORD CONTROL SYSTEMS LIMITED</t>
  </si>
  <si>
    <t>831.60 lakhs</t>
  </si>
  <si>
    <t>269.27 times</t>
  </si>
  <si>
    <t>will be updated at the end of 2nd  F.Y.</t>
  </si>
  <si>
    <t>will be updated at the end of 3rd  F.Y.</t>
  </si>
  <si>
    <t>Source: MCA Portal &amp; Information provided by the Company.</t>
  </si>
  <si>
    <t>Rs. 55</t>
  </si>
  <si>
    <t>At close of listing day 
(October 10, 2022)</t>
  </si>
  <si>
    <r>
      <t xml:space="preserve">Issuer: </t>
    </r>
    <r>
      <rPr>
        <sz val="10"/>
        <rFont val="Times New Roman"/>
        <family val="1"/>
      </rPr>
      <t>CNCRD **</t>
    </r>
  </si>
  <si>
    <t>*</t>
  </si>
  <si>
    <t>(ii) at the end of the 1st Half Year immediately after the listing of the issue (March 31, 2023)</t>
  </si>
  <si>
    <t>(ii) at the end of the 1st half year immediately after the listing of the issue (March 31, 2023)</t>
  </si>
  <si>
    <t>(ii) at the end of the 1st half Year immediately after the listing of the issue  (March 31, 2023)</t>
  </si>
  <si>
    <t>4938 Lakhs</t>
  </si>
  <si>
    <t xml:space="preserve">QIB holding (as a % of total outstanding capital) as disclosed to stock exchanges </t>
  </si>
  <si>
    <t xml:space="preserve">Financials of the issuer </t>
  </si>
  <si>
    <t xml:space="preserve">Change, if any, in directors of issuer from the disclosures in the offer document </t>
  </si>
  <si>
    <t xml:space="preserve">Status of implementation of project/ commencement of commercial production </t>
  </si>
  <si>
    <t>Financials of the issuer</t>
  </si>
  <si>
    <t>Sectoral Index</t>
  </si>
  <si>
    <t># BSE SME does not have any sectoral index for the Real Estate sector</t>
  </si>
  <si>
    <t># BSE SME does not have any sectoral index for this sector</t>
  </si>
  <si>
    <t xml:space="preserve"> Dudigital Global Limited (Formerly Knowns as DU DIGITAL TECHNOLOGIES LIMITED)</t>
  </si>
  <si>
    <t>Initial Public Offering (IPO) on SME Platform of National Stock Exchange of India Limited</t>
  </si>
  <si>
    <t># NSE EMERGE does not have any sectoral index for this sector</t>
  </si>
  <si>
    <t># BSE SME does not have any sectoral index for the Dental sector</t>
  </si>
  <si>
    <t># NSE EMERGE does not have any sectoral index for the Ferro Alloy Industrial sector</t>
  </si>
  <si>
    <t># BSE SME does not have any sectoral index for the Edible Oil sector</t>
  </si>
  <si>
    <t># NSE EMERGE does not have any sectoral index for the Solvent extraction and edible oil sector</t>
  </si>
  <si>
    <t># NSE EMERGE does not have any sectoral index for the Defence and Dairy sector</t>
  </si>
  <si>
    <t># BSE SME does not have any sectoral index for the Jewellery sector</t>
  </si>
  <si>
    <t># BSE SME does not have any sectoral index for the Railway Coaches and Electrification sector</t>
  </si>
  <si>
    <t># BSE SME does not have any sectoral index for the Logistics sector</t>
  </si>
  <si>
    <t># BSE SME does not have any sectoral index for the this sector</t>
  </si>
  <si>
    <t># BSE SME does not have any sectoral index for the Rental Solutions sector</t>
  </si>
  <si>
    <t># NSE EMERGE does not have any sectoral index for the Beauty Salon sector</t>
  </si>
  <si>
    <t xml:space="preserve">1. To meet the Working Capital Requirements of the Company - Rs. 151.50 Lakhs                                  
2.   To make investment in our Subsidiary Company, Dudigital Global LLC -Rs. 140.00 Lakhs                                                                                                                                    3.To meet General Corporate Expense -Rs. 110.00 lakhs                                                                                     4. Issue Related Expenses - Rs. 47.00 Lakhs                            </t>
  </si>
  <si>
    <t># Since the company's share were listed on March 28, 2022 hence the same will be soon updated</t>
  </si>
  <si>
    <t xml:space="preserve">**Source:  Prospectus dated September 30, 2022 based on restated summary statement for period ended on March 31, 2022 </t>
  </si>
  <si>
    <t>Since the issue is being made in terms of Chapter IX of the SEBI (ICDR) Regulations, 2018, there is no requirement of appointing a IPO Grading agency.</t>
  </si>
  <si>
    <t>Since the issue is being made in terms of Chapter IX of the SEBI (ICDR) Regulations,2018 there is no requirement of appointing a IPO Grading agency.</t>
  </si>
  <si>
    <t>Since the issue is being made in terms of Chapter IX of the SEBI (ICDR) Regulations, 2018 there is no requirement of appointing a IPO Grading agency.</t>
  </si>
  <si>
    <t># Since the company's share were listed on October 12, 2022 hence the same will be soon updated</t>
  </si>
  <si>
    <t>Appointment of Shailesh Satish Kasegaonkar as an Additional Independent Director w.e.f. July 19, 2022 and ratified as Non-Executive Indepedent Director in the Annual General Meeting held on 19th August, 2022 and Mrs. Hemaben Re-designated from Whole time Director to Non Executive Director  and Mr. Pankajkumar Sukhadia has resigned from the position of Non Executive Director w.e.f. 19th July, 2022</t>
  </si>
  <si>
    <t xml:space="preserve">1. To meet the Working Capital Requirements of the Company - Rs. 700.00 Lakhs
2.To meet General Corporate Expense -Rs. 49.17 Lakhs
3. Issue Related Expenses - Rs. 82.43 Lakhs              </t>
  </si>
  <si>
    <t>(ii) at the end of the 1st half year immediately after the listing of the issue  (September 30, 2022)</t>
  </si>
  <si>
    <t>3.72 Times</t>
  </si>
  <si>
    <t>37.25 Times</t>
  </si>
  <si>
    <t xml:space="preserve">1. To meet the Working Capital Requirements of the Company - Rs. 900 Lakhs                                                                                                                                                                      2.To meet General Corporate Expense -Rs. 171.19 lakhs                                                                                     3. Issue Related Expenses - Rs. 117.53 Lakhs    </t>
  </si>
  <si>
    <t>1. To meet the Working Capital Requirements of the Company - Rs. 560.00 lakhs                                                                                                                                         2. To meet General Corporate Expense -Rs. 105.59 lakhs
3. To meet Issue Expenses- Rs. 24.41 lakhs</t>
  </si>
  <si>
    <t xml:space="preserve">1. To meet the Working Capital Requirements of the Company - Rs. 1400.00 lakhs                                                                                                                                         2.To meet General Corporate Expense -Rs. 278.78 lakhs                                     3. Issue Related Expenses - Rs. 290.23*                           </t>
  </si>
  <si>
    <t xml:space="preserve">1. To meet the Working Capital Requirements of the Company - Rs. 1400.00 lakhs                                                                                                                                         2.To meet General Corporate Expense -Rs. 278.78 lakhs                                     
3. Issue Related Expenses - Rs. 290.23*                           </t>
  </si>
  <si>
    <t>*Excess utilization (108.53) towards issue related expenses is incurred by the company from its internal accruals</t>
  </si>
  <si>
    <t xml:space="preserve">1. To meet Working Capital requirements - Rs. 878.40 lakhs                                                                                                                                                    2.General Corporate Purpose -         Rs. 163.20 Lakhs                                     3. To meet issue expenses - Rs. 129.6 Lakhs.                            </t>
  </si>
  <si>
    <t xml:space="preserve">Financials of the issuer (as per the annual financial results submitted to stock exchange </t>
  </si>
  <si>
    <t>(ii) at the end of thehalf year immediately after the listing of the issue (September 30, 2021)</t>
  </si>
  <si>
    <t>(ii) at the end of the 1st half year immediately after the listing of the issue (September 30, 2019)</t>
  </si>
  <si>
    <t>Change, if any, in directors of issuer from the disclosures in the offer document</t>
  </si>
  <si>
    <t xml:space="preserve">1. To meet the Working Capital Requirements - Rs. 136.62 lakhs                                                                                                                                         2. To meet General Corporate Expense -Rs.50.14 lakhs                                      
3. Issue Expenses -Rs.40.16 lakhs. </t>
  </si>
  <si>
    <t xml:space="preserve">As disclosed in the offer document </t>
  </si>
  <si>
    <t>(ii) at the end of the 1st half Year immediately after the listing of the issue (September 30, 2019)</t>
  </si>
  <si>
    <t>Status of implementation of project/ commencement of commercial production</t>
  </si>
  <si>
    <t>Not Applicable as the issue size was less than Rs.1000 Million</t>
  </si>
  <si>
    <t>(ii) at the end of the 1st half year immediately after the listing of the issue (March 31, 2020)</t>
  </si>
  <si>
    <t>(ii) at the end of the 1st half yaer immediately after the listing of the issue (March 31, 2020)</t>
  </si>
  <si>
    <t>As disclosed in the offer document</t>
  </si>
  <si>
    <t xml:space="preserve">1. To meet the Working Capital Requirements of the Company - Rs. 822.23 lakhs                                                                                                                                         2.To meet General Corporate Expense -Rs. 270.00 lakhs                                   
 3. Issue Expenses -Rs. 59.77 lakhs. </t>
  </si>
  <si>
    <t>Note: Since the company's share were listed on July 07, 2019 we are considering March 31, 2020 as the 1st Financial Year.</t>
  </si>
  <si>
    <t xml:space="preserve">1. To open processing center in nearby cites of Kanpur (Jhansi, Banda, Faizabad, Unnao) - Rs. 86.40 lakhs                                                                                                                                         2. To purchase advanced machinery and equipment  -Rs. 100.29 lakhs                                      
3. Repayment/pre-payment, of certain borrowings availed by the Company s -Rs. 78.72 lakhs.                            
4. Issue Expenses - Rs 46.11 lakhs </t>
  </si>
  <si>
    <t>1.35 times</t>
  </si>
  <si>
    <t xml:space="preserve">1. To meet the Working Capital Requirements of the Company - Rs. 485.00 lakhs                                                                                                                                         2.To meet General Corporate Expense -Rs. 82.74 lakhs     3. Issue Expenses - Rs 78.96 </t>
  </si>
  <si>
    <t>1. To open processing center in nearby cites of Kanpur (Jhansi, Banda, Faizabad, Unnao) - Nil                                                                                                                                         2. To purchase advanced machinery and equipment -Nil                                      
3. Repayment/pre-payment, of certain borrowings availed by the Company s -Rs. 1.04 lakhs.                        4. Issue Expenses - Rs 46.11 lakhs</t>
  </si>
  <si>
    <t>1. Due to COVID Pandemic the company could not open the proposed centres which it had already identified    2. The company has paid an advance of Rs 157 lacs for purchase of machinery which could not be delivered due to COVID pandemic                                       3.  Due to COVID pandemic the company has deferred the payments to tide over any financial rrisk</t>
  </si>
  <si>
    <t>1. To open processing center in nearby cites of Kanpur (Jhansi, Banda, Faizabad, Unnao) - Nil                                                                                                                                         2. To purchase advanced machinery and equipment -Nil                                      
3. Repayment/pre-payment, of certain borrowings availed by the Company s -Rs. 1.04 lakhs.                                                                                    4. Issue Expenses - Rs 46.11 lakhs</t>
  </si>
  <si>
    <t xml:space="preserve">1. To meet the Working Capital Requirements of the Company - Rs. 485.00 lakhs                                                                                                                                         2.To meet General Corporate Expense -Rs. 82.74 lakhs     
3. Issue Expenses - Rs 78.96 </t>
  </si>
  <si>
    <t xml:space="preserve">1. To meet the Working Capital Requirements of the Company - Rs. 500.00 lakhs                                                                                                                                         2.To meet General Corporate Expense -Rs. 86.32 lakhs     
3. Issue Expenses - Rs 78.96                           </t>
  </si>
  <si>
    <t>Mr. Dharmesh Rathore resigned as Independent Director of the company w.e.f. 14th February 2022</t>
  </si>
  <si>
    <t xml:space="preserve">BAHETI RECYCLING INDUSTRIES LIMITED
</t>
  </si>
  <si>
    <t>1242.00 lakhs</t>
  </si>
  <si>
    <t xml:space="preserve">Modernization and expansion of existing manufacturing unit
Working Capital Requirement                                                       General Corporate Purposes                                                  Issue expenses                                                                           </t>
  </si>
  <si>
    <t xml:space="preserve">1. Modernization and expansion of existing manufacturing unit - 255.21 Lakhs 
2. To meet the Working Capital Requirements of the Company - Rs. 700.00 Lakhs
3.To meet General Corporate Expense -Rs. 190.29 Lakhs
4. Issue Related Expenses - Rs. 96.50 Lakhs              </t>
  </si>
  <si>
    <t># Since the company's share were listed on December 08, 2022 hence the same will be soon updated</t>
  </si>
  <si>
    <t>At close of listing day 
(December 08, 2022)</t>
  </si>
  <si>
    <t xml:space="preserve">*Will be updated once the company makes necessary disclosures on the website of NSE </t>
  </si>
  <si>
    <t>Index (of the Designated Stock Exchange): NSE NIFTY</t>
  </si>
  <si>
    <r>
      <t xml:space="preserve">Issuer: </t>
    </r>
    <r>
      <rPr>
        <sz val="10"/>
        <rFont val="Times New Roman"/>
        <family val="1"/>
      </rPr>
      <t>BRIL**</t>
    </r>
  </si>
  <si>
    <t>Note: Since the company's share were listed on December 08, 2022 we will be considering March 31, 2023 as the 1st Financial Year.</t>
  </si>
  <si>
    <t>2421.36 lakhs</t>
  </si>
  <si>
    <t xml:space="preserve">1. To meet the Working Capital Requirements of the Company - Rs. 1650.00 Lakhs
2.To meet General Corporate Expense -Rs. 577.36 Lakhs
3. Issue Related Expenses - Rs. 194.00 Lakhs              </t>
  </si>
  <si>
    <t xml:space="preserve">CHAMAN METALLICS LIMITED
</t>
  </si>
  <si>
    <t>Rs. 38</t>
  </si>
  <si>
    <t>At close of listing day 
(Janaury 16, 2023)</t>
  </si>
  <si>
    <t>**Source:  Prospectus dated December 28, 2022 based on restated summary statement for period ended on September 30, 2022</t>
  </si>
  <si>
    <r>
      <t xml:space="preserve">Issuer: </t>
    </r>
    <r>
      <rPr>
        <sz val="10"/>
        <rFont val="Times New Roman"/>
        <family val="1"/>
      </rPr>
      <t>CML**</t>
    </r>
  </si>
  <si>
    <t>Note: Since the company's share were listed on January 16, 2023 we will be considering March 31, 2023 as the 1st Financial Year.</t>
  </si>
  <si>
    <t>EARTHSTAHL &amp; ALLOYS LIMITED</t>
  </si>
  <si>
    <t>1296.00 lakhs</t>
  </si>
  <si>
    <t xml:space="preserve">1. Financing the expenditure for Business Expansion;  - Rs.944.45 lakhs                                                               2. To meet working capital requirements- Rs.100.00 lakhs ;                                                  3. General Corporate Purpose- Rs.119.13 lakhs ;                                                                     4. To meet issue expenses - Rs.132.42 lakhs                                                                      </t>
  </si>
  <si>
    <t># Since the company's share were listed on February 08, 2023 hence the same will be soon updated</t>
  </si>
  <si>
    <t xml:space="preserve">1. Financing the expenditure for Business Expansion;  - Rs.944.45 lakhs                                                               2. To meet working capital requirements- Rs.100.00 lakhs ;                                                  
3. General Corporate Purpose- Rs.119.13 lakhs ;                                                                     
4. To meet issue expenses - Rs.132.42 lakhs                                                                      </t>
  </si>
  <si>
    <t>At close of listing day                   (February 08, 2023)</t>
  </si>
  <si>
    <t># Since the company's share were listed on February 08, 2023  hence the same will be soon updated</t>
  </si>
  <si>
    <r>
      <t xml:space="preserve">Issuer: </t>
    </r>
    <r>
      <rPr>
        <sz val="10"/>
        <rFont val="Times New Roman"/>
        <family val="1"/>
      </rPr>
      <t>ESAL**</t>
    </r>
  </si>
  <si>
    <r>
      <t xml:space="preserve">Issuer: </t>
    </r>
    <r>
      <rPr>
        <sz val="10"/>
        <rFont val="Times New Roman"/>
        <family val="1"/>
      </rPr>
      <t xml:space="preserve"> ESAL**</t>
    </r>
  </si>
  <si>
    <t>**Source:  Prospectus dated February 02, 2023 based on restated summary statement for financial year ended  on September 30, 2022</t>
  </si>
  <si>
    <t>Note: Since the company's share were listed on February 08, 2023 we will be considering March 31, 2023 as the 1st Financial Year.</t>
  </si>
  <si>
    <t>197.48 times</t>
  </si>
  <si>
    <t>363.78 times</t>
  </si>
  <si>
    <t>219.16 times</t>
  </si>
  <si>
    <t># NSE Emerge does not have any sectoral index for the  aluminium recycling company</t>
  </si>
  <si>
    <t># NSE Emerge does not have any sectoral index for the manufacturing and selling of Direct Reduced Iron</t>
  </si>
  <si>
    <t># BSE SME does not have any sectoral index for Cast Iron Lumps and Ductile Iron Pipe Fittings sector</t>
  </si>
  <si>
    <t>Frequently</t>
  </si>
  <si>
    <t>Note: Since the company's share were listed on March 22, 2021 we will be considering March 31, 2021 as the 1st Financial Year.</t>
  </si>
  <si>
    <t xml:space="preserve">LABELKRAFT TECHNOLOGIES LIMITED
 </t>
  </si>
  <si>
    <t>Rs. 475.20 lakhs</t>
  </si>
  <si>
    <t xml:space="preserve">1. Funding Capital Expenditure towards installation of additional plant and machinery.   
2. Funding of working capital requirement
3. General Corporate Purposes                                                                                                                     </t>
  </si>
  <si>
    <t xml:space="preserve">1. Funding Capital Expenditure towards installation of additional plant and machinery : 180.69 Lakh  
2. Funding of working capital requirement: 90.00 Lakh
3. General Corporate Purposes : 76.25 Lakhs                                                                                                                 </t>
  </si>
  <si>
    <t># Since the company's share were listed on March 23, 2023 hence the same will be soon updated</t>
  </si>
  <si>
    <t>55/-</t>
  </si>
  <si>
    <t>At close of listing day                  March 23, 2023)</t>
  </si>
  <si>
    <t xml:space="preserve">N.A. </t>
  </si>
  <si>
    <t># BSE SME does not have any sectoral index for the Printing and Labelling Industry</t>
  </si>
  <si>
    <t>Issuer: LTL**</t>
  </si>
  <si>
    <t>**Source:  Prospectus dated March 06, 2023 based on restated summary statement for period ended on November 30, 2022</t>
  </si>
  <si>
    <t xml:space="preserve">MACFOS LIMITED
 </t>
  </si>
  <si>
    <t>Rs. 2374.56 lakhs</t>
  </si>
  <si>
    <t>262.82 Times</t>
  </si>
  <si>
    <t>Not Applicable 
(100% Offer for Sale)</t>
  </si>
  <si>
    <t>102/-</t>
  </si>
  <si>
    <t>At close of listing day                  March 01, 2023)</t>
  </si>
  <si>
    <t>Issuer: Macfos**</t>
  </si>
  <si>
    <t>**Source:  Prospectus dated February 23, 2023 based on restated summary statement for period ended on September 30, 2022</t>
  </si>
  <si>
    <t>Note: Since the company's share were listed on March 01, 2023. we will be considering March 31, 2023 as the 1st Financial Year.</t>
  </si>
  <si>
    <t xml:space="preserve">SYSTANGO TECHNOLOGIES LIMITED
</t>
  </si>
  <si>
    <t>3481.92 lakhs</t>
  </si>
  <si>
    <t>65.62 times</t>
  </si>
  <si>
    <t xml:space="preserve">Strategic Investment and Acquisitions
Investment in Subsidiaries
Working Capital Requirement                                                       General Corporate Purposes                                                  Issue expenses                                                                           </t>
  </si>
  <si>
    <t xml:space="preserve">Strategic Investment and Acquisitions: 800 Lakhs
Investment in Subsidiaries: 1000 Lakhs
Working Capital Requirement: 1000 Lakhs                                                General Corporate Purposes: 343.13 Lakhs                                                                                                                </t>
  </si>
  <si>
    <t># Since the company's share were listed on March 15, 2023 hence the same will be soon updated</t>
  </si>
  <si>
    <t xml:space="preserve">Strategic Investment and Acquisitions: 800 Lakhs
Investment in Subsidiaries: 1000 Lakhs
Working Capital Requirement: 1000 Lakhs                                                
General Corporate Purposes: 343.13 Lakhs                                                                                                                </t>
  </si>
  <si>
    <t>90/-</t>
  </si>
  <si>
    <t>At close of listing day 
(March 15, 2023)</t>
  </si>
  <si>
    <t># NSE Emerge does not have any sectoral index for the IT Sector</t>
  </si>
  <si>
    <r>
      <t xml:space="preserve">Issuer: </t>
    </r>
    <r>
      <rPr>
        <sz val="10"/>
        <rFont val="Times New Roman"/>
        <family val="1"/>
      </rPr>
      <t>STL**</t>
    </r>
  </si>
  <si>
    <r>
      <t>Issuer: STL</t>
    </r>
    <r>
      <rPr>
        <sz val="10"/>
        <rFont val="Times New Roman"/>
        <family val="1"/>
      </rPr>
      <t>**</t>
    </r>
  </si>
  <si>
    <t>**Source:  Prospectus dated March 09, 2023 based on restated summary statement for period ended on September 30, 2022</t>
  </si>
  <si>
    <t>Note: Since the company's share were listed on March 15, 2023 we will be considering March 31, 2023 as the 1st Financial Year.</t>
  </si>
  <si>
    <t>1. To meet the Working Capital Requirements of the Company - Rs. 760.00 lakhs                                                                                                                                         2.To meet General Corporate Expense -Rs. 177.16 lakhs                                     3. Issue Related Expenses - Rs. 75.16 lakhs(29.95 of Issue Related Expenses have been utilised in General Corporate Expense)</t>
  </si>
  <si>
    <t xml:space="preserve">1. To meet the Working Capital Requirements of the Company - Rs. 900 Lakhs                                                                                                                                                                      2.To meet General Corporate Expense -Rs. 84.84
 lakhs                                                                                     3. Issue Related Expenses - Rs. 122.16 Lakhs     </t>
  </si>
  <si>
    <t xml:space="preserve">1. To meet the Working Capital Requirements of the Company - Rs. 900 Lakhs                                                                                                                                                                      2.To meet General Corporate Expense -Rs. 137.98
 lakhs                                                                                     3. Issue Related Expenses - Rs. 69.02 Lakhs     
(53.14 from issue Related Expenses have been utilised to meet General Corpoarate Expenses) </t>
  </si>
  <si>
    <t xml:space="preserve">1. To meet the Working Capital Requirements of the Company - Nil.
2.To meet General Corporate Expense -Rs. 577.36 Lakhs
3. Issue Related Expenses - Rs. 194.00 Lakhs              </t>
  </si>
  <si>
    <t>Rs. 1650.00 Lakhs was deposited in bank as Fixed Deposit and is lying Unutilised as on 31st March 2023.</t>
  </si>
  <si>
    <t>1. To meet the Working Capital Requirements of the Company - Rs. 830.12 lakhs                                                                                                                                         2.To meet General Corporate Expense -Rs. 270.00 lakhs                                   
 3. Issue Expenses -Rs. 51.88 lakhs. 
(7.89Lacs of Issue Related Expenses have been utilised in Working Capital Requirements)</t>
  </si>
  <si>
    <t>Closing price (31/03/2023)</t>
  </si>
  <si>
    <t xml:space="preserve">Closing price(31/03/2023) </t>
  </si>
  <si>
    <t xml:space="preserve">1. To meet the Working Capital Requirements of the Company - Rs. 4000 Lakhs                                                                                                                                                                      2.To meet General Corporate Expense -Rs. 517.41
 lakhs                                                                                     3. Issue Related Expenses - Rs.420.59 Lakhs  
(Surplus from Issue Related Expenses of Rs. 49.87 Lakhs have been utilized to meet General Corporate purpose)   </t>
  </si>
  <si>
    <t xml:space="preserve">1. To meet the Working Capital Requirements of the Company - Rs. 4000 Lakhs                                                                                                                                                                      2.To meet General Corporate Expense -Rs. 517.41  lakhs
 3. Issue Related Expenses - Rs.420.59 Lakhs  
(Surplus from Issue Related Expenses of Rs. 49.87 Lakhs have been utilized to meet General Corporate purpose)      </t>
  </si>
  <si>
    <t>Remarks: Latest Financials of Company have not been uploaded</t>
  </si>
  <si>
    <t xml:space="preserve">Mr. Yogesh Nandi has been appointed as an Additional Director (Non-Executive, Independent) w.e.f. April 02, 2022 </t>
  </si>
  <si>
    <t xml:space="preserve">No Change </t>
  </si>
  <si>
    <t>Resignation of Ms. Komal Mehra as Company secretary w.e.f. August 08, 2022 Appointment of Mr. Krishna Rathi as Company Secretary w.e.f. August 27,2022.</t>
  </si>
  <si>
    <t xml:space="preserve">Appointed Pinak Ranjan Chakravarty as Director w.e.f.08/07/2022 </t>
  </si>
  <si>
    <t xml:space="preserve">Will be updated at the end of 3rd F.Y. </t>
  </si>
  <si>
    <t>Remarks: Latest Financials of Company for FY 22-23 have not been uploaded on the Website of NSE</t>
  </si>
  <si>
    <t>Remarks: Latest Financials of Company for the FY 22-23 have not been uploaded on BSE Website</t>
  </si>
  <si>
    <t>Remarks: Latest Financials of Company for FY 22-23 have not been uploaded on the Website of BSE</t>
  </si>
  <si>
    <t>At close of 30th calendar day from listing day (09/03/2023)</t>
  </si>
  <si>
    <t>At close of 90th calendar day from listing day 
(08/05/2023)</t>
  </si>
  <si>
    <t xml:space="preserve">At close of 30th calendar day from listing day(14th Feb) </t>
  </si>
  <si>
    <t>At close of 90th calendar day from listing day (15th April)</t>
  </si>
  <si>
    <t>At close of 30th calendar day from listing day (06Jan 2023)</t>
  </si>
  <si>
    <t>At close of 90th calendar day from listing day 
(07/03/2023)</t>
  </si>
  <si>
    <t>At close of 30th calendar day from listing day (08/11/2022)</t>
  </si>
  <si>
    <t>At close of 90th calendar day from listing day (07/01/2023)</t>
  </si>
  <si>
    <t>**Source:  Prospectus dated November 22, 2022 based on restated summary statement for period ended on March 31, 2022</t>
  </si>
  <si>
    <t>**Source:  Prospectus dated March 25, 2021 based on restated summary statement for period ended on September 30, 2021</t>
  </si>
  <si>
    <t>**Source:  Prospectus dated September 22, 2021 based on restated summary statement for period ended on March31, 2021</t>
  </si>
  <si>
    <t>**Source:  Prospectus dated August 06 2021 based on restated summary statement for period ended on March 31, 2021.</t>
  </si>
  <si>
    <t xml:space="preserve">Yashovardhan azad and Rakesh Kumar Aggarwal appointed as director w.e.f 22/03/2022 </t>
  </si>
  <si>
    <t>Rakesh Kumar Aggarwal Resigned from Directorship w.e.f. 28/02/2023</t>
  </si>
  <si>
    <t xml:space="preserve">Appointment of ROHIT PARAKH as Director w.e.f August 01, 2022 and Keshav Sharma as Director w.e.f. May 26, 2022 and Appointment of Raj Kishor Vishwakarma as CFO(KMP) w.e.f. September 01, 2022,
Ramakant Sarda w.e.f. 01/08/2022and Nandkishor Bhutda w.e.f. 26/05/2022 Resigned from post of Director </t>
  </si>
  <si>
    <t>Appointment of Ms Astha Pareek as Director w.e.f. July 01, 2022 and Priyanka Dabkara Resigned from Directorship post w.e.f.11/11/2022</t>
  </si>
  <si>
    <t>Suvendu Banerjee resigned from Director Post w.e.f. 27/05/2022</t>
  </si>
  <si>
    <t>Deeptimayee Vidushi have been appointed w.e.f. 26/12/2022 and Poonam Rishi Pilani have resigned w.e.f. 28/11/2022.</t>
  </si>
  <si>
    <t>At close of 30th calendar day from listing day (26/04/2022)</t>
  </si>
  <si>
    <t>At close of 90th calendar day from listing day (25/06/2022)</t>
  </si>
  <si>
    <t xml:space="preserve">1. Funding Capital Expenditure towards installation of additional plant and machinery : NIL  
2. Funding of working capital requirement: 89.99 Lakh
3. General Corporate Purposes : NIL                                                                                                                 </t>
  </si>
  <si>
    <t>Note: Since the company's share were listed on March 23, 2023. we will be considering March 31, 2023 as the 1st Financial Year.</t>
  </si>
  <si>
    <t xml:space="preserve">1. Financing the expenditure for Business Expansion;  - Rs.319.43 lakhs                                                               2. To meet working capital requirements- Rs.100.00 lakhs ;                                                  3. General Corporate Purpose- Rs.39.15 lakhs ;                                                                     4. To meet issue expenses - Rs.132.42 lakhs                                                                      </t>
  </si>
  <si>
    <t xml:space="preserve">      </t>
  </si>
  <si>
    <t xml:space="preserve">1. Financing the expenditure for Business Expansion;  - Rs.319.43 lakhs    
2. To meet working capital requirements- Rs.100.00 lakhs ; 
 3. General Corporate Purpose- Rs.39.15 lakhs ;  
4. To meet issue expenses - Rs.132.42 lakhs                                                                      </t>
  </si>
  <si>
    <t xml:space="preserve">1. To meet the Working Capital Requirements of the Company -0.00                                                                                                                                         2.To meet General Corporate Expense -Rs. 0.00 lakhs                                      3. Issue Related Expenses - Rs. 70.00 lakhs                    </t>
  </si>
  <si>
    <t xml:space="preserve">1. To meet the Working Capital Requirements of the Company -0.00    
 2.To meet General Corporate Expense -Rs. 0.00 lakhs                                    
3. Issue Related Expenses - Rs. 70.00 lakhs                    </t>
  </si>
  <si>
    <t xml:space="preserve">1. Financing the expenditure for opening new stores -- Rs.543.65 lakhs                                        
2. To repay of short term borrowings- Rs.902.00 lakhs                                       3. To meet working capital requirements- Rs.450.00 lakhs;                                                 4. General Corporate Purpose- Rs.318.10 lakhs;                                                 5. To meet issue expenses - Rs.186.25 lakhs                                                      </t>
  </si>
  <si>
    <t xml:space="preserve">1. Financing the expenditure for opening new stores -- Rs.234.64 lakhs                                        
2. To repay of short term borrowings- Rs.902.00 lakhs                                       3. To meet working capital requirements- Rs.226.34 lakhs;                                                 4. General Corporate Purpose- Rs.25.54 lakhs;                                                
 5. To meet issue expenses - Rs.168.94 lakhs                                                      </t>
  </si>
  <si>
    <t xml:space="preserve">1. Financing the expenditure for opening new stores -- Rs.543.65 lakhs                                          
2. To repay of short term borrowings- Rs.902.00 lakhs                                                                              
3. To meet working capital requirements- Rs.450.00 lakhs;                                                                       
4. General Corporate Purpose- Rs.318.10 lakhs;                                                                                     
5. To meet issue expenses - Rs.186.25 lakhs              </t>
  </si>
  <si>
    <t xml:space="preserve">1. Financing the expenditure for opening new stores -- Rs.234.64 lakhs                                      
2. To repay of short term borrowings- Rs.902.00 lakhs                                       
3. To meet working capital requirements- Rs.226.34 lakhs;                                                 
4. General Corporate Purpose- Rs.25.54 lakhs;                                                
 5. To meet issue expenses - Rs.168.94 lakhs                                                      </t>
  </si>
  <si>
    <t xml:space="preserve">1. To meet the Working Capital Requirements of the Company - Rs. 534.73 Lakhs  
2. Prepayment or repayment of all or a portion of certain outstanding borrowings availed
by our Company- Rs. 800.00 lakhs                                                                                                                                                                    3.To meet General Corporate Expense -Rs. 258.74
 lakhs                                                                                     4. Issue Related Expenses - Rs. 151.84 Lakhs     </t>
  </si>
  <si>
    <t xml:space="preserve">1. To meet the Working Capital Requirements of the Company - Rs. 534.73 Lakhs  
2. Prepayment or repayment of all or a portion of certain outstanding borrowings availed by our Company- Rs. 800.00 lakhs                                                                                                                                                                    3.To meet General Corporate Expense -Rs. 258.74
 lakhs                                                                                     
4. Issue Related Expenses - Rs. 151.84 Lakhs     </t>
  </si>
  <si>
    <t xml:space="preserve">1. To meet Working Capital requirements - Rs. 878.40 lakhs                                                                                                                                                    2.General Corporate Purpose -         Rs. 163.20 Lakhs                                     3. To meet issue expenses - Rs. 129.6 Lakhs.  (16.77* is used from Issue Expenses to General Corporate Purposes                       </t>
  </si>
  <si>
    <t>x`</t>
  </si>
  <si>
    <t>EPS</t>
  </si>
  <si>
    <t xml:space="preserve">EPS </t>
  </si>
  <si>
    <t>Revenue from operations</t>
  </si>
  <si>
    <t xml:space="preserve"># BSE SME does not have any sectoral index for the Trading of  Electonic Components </t>
  </si>
  <si>
    <t>Note: Since the company's share were listed on August 13, 2020 we are considering March 31, 2021 as the 1st Financial Year.</t>
  </si>
  <si>
    <t>Will be updated at the end of 2nd F.Y. ***</t>
  </si>
  <si>
    <t>*** Eki Energy Services Limited has submitted intimation dated May 26, 2023 to the Stock Exchange for delay in submission of Financial Results</t>
  </si>
  <si>
    <t>*** Closing price for Patdiam Jewellery is considererd as on the date 20th February, 2023 for the calculation of P/E Ratio (as per data retrieved from bseindia.com)</t>
  </si>
  <si>
    <t xml:space="preserve">1. To meet the Working Capital Requirements of the Company - Rs. 760.00 lakhs 
2.To meet General Corporate Expense -Rs. 147.21 lakhs
3. Issue Related Expenses - Rs. 105.11                    </t>
  </si>
  <si>
    <t>1. To meet the Working Capital Requirements of the Company - Rs. 437.19 lakhs
2.To meet General Corporate Expense -Rs. 177.16 lakhs 
3. Issue Related Expenses - Rs. 75.16 lakhs
(29.95 of Issue Related Expenses have been utilised in General Corporate Expense)</t>
  </si>
  <si>
    <t>1. To meet the Working Capital Requirements of the Company - Rs. 560.00 lakhs
2. To meet General Corporate Expense -Rs. 105.59 lakhs
3. To meet Issue Expenses- Rs. 24.41 lakhs</t>
  </si>
  <si>
    <t xml:space="preserve">1. To meet the Working Capital Requirements of the Company - Rs. 560.00 lakhs
2.To meet General Corporate Expense -Rs. 60.50 lakhs
3. To meet Issue Expenses- Rs. 69.50 lakhs                                      </t>
  </si>
  <si>
    <t xml:space="preserve">1. Purchase of machineries, equipments and utilities for manufacturing of proposed additional line of products, R&amp;D unit and existing manufacturing operations - Rs. 1801.80 lakhs
2.General Corporate Purpose -  Rs. 577.23 lakhs
3. To meet issue expenses - Rs. 282.09                            </t>
  </si>
  <si>
    <t xml:space="preserve">1. Purchase of machineries, equipments and utilities for manufacturing of proposed additional line of products, R&amp;D unit and existing manufacturing operations - Rs. 1801.80 Lakhs 
2.General Corporate Purpose - Rs. 577.23 lakhs
3. To meet issue expenses - Rs. 282.09                            </t>
  </si>
  <si>
    <t xml:space="preserve">1. Purchase of machineries, equipments and utilities for manufacturing of proposed additional line of products, R&amp;D unit and existing manufacturing operations - Rs. 1801.80 lakhs 
2.General Corporate Purpose - Rs. 577.23 lakhs
3. To meet issue expenses - Rs. 282.09 lakhs                                                       </t>
  </si>
  <si>
    <t xml:space="preserve">1. Purchase of machineries, equipments and utilities for manufacturing of proposed additional line of products, R&amp;D unit and existing manufacturing operations - Rs. 1801.80 lakhs
2.General Corporate Purpose -   Rs. 577.23 lakhs
3. To meet issue expenses - Rs. 282.09                            </t>
  </si>
  <si>
    <t xml:space="preserve">1. To meet the Working Capital Requirements of the Company - Rs. 677.60 Lakhs
2.To meet General Corporate Expense -Rs. 205.36  lakhs
3. Issue Related Expenses - Rs. 28.44 Lakhs 
(20.36 Lac of issue Related Expense have been utilised in General Corporate Expense)                         </t>
  </si>
  <si>
    <t xml:space="preserve">1. To meet the Working Capital Requirements of the Company - Rs. 677.60 Lakhs
2.To meet General Corporate Expense -Rs. 185.00 lakhs
3. Issue Related Expenses - Rs. 48.80 Lakhs                            </t>
  </si>
  <si>
    <t xml:space="preserve">1. To meet the Working Capital Requirements of the Company - Rs. 677.60 Lakhs
2.To meet General Corporate Expense -Rs. 205.36 lakhs
3. Issue Related Expenses - Rs. 28.44 Lakhs 
(20.36 Lac of issue Related Expense have been utilised in General Corporate Expense)                         </t>
  </si>
  <si>
    <t xml:space="preserve">1. To meet Working Capital requirements - Rs. 900 lakhs
2.General Corporate Purpose - Rs. 84.84 lakhs
3. To meet issue expenses - Rs. 122.16 lakhs                                                      </t>
  </si>
  <si>
    <t>1. To meet the Working Capital Requirements of the Company - Rs. 900 Lakhs
2.To meet General Corporate Expense -Rs. 137.98  lakhs
3. Issue Related Expenses - Rs. 69.02 Lakhs
(53.14 from issue Related Expenses have been utilised to meet General Corpoarate Expenses)</t>
  </si>
  <si>
    <t>Fresh Issue - Rs 911.40  And Offer for Sale - Rs 1050.00 
 Since the company's share were listed on 08-Oct-2021hence the same will be soon updated</t>
  </si>
  <si>
    <t>SAAKSHI MEDTECH AND PANELS LIMITED</t>
  </si>
  <si>
    <t>₹ 4,516.32 Lakhs</t>
  </si>
  <si>
    <t>will be updated with the closure of FY 2024</t>
  </si>
  <si>
    <t>Repayment in full or in part, of certain of our outstanding borrowings;Funding to meet working capital requirements; General Corporate Purpose.</t>
  </si>
  <si>
    <t xml:space="preserve">1. Repayment in full or in part, of certain of our outstanding borrowings- 500.00 Lakhs ;
2. Funding to meet working capital requirements 2550.00 lakhs; 
3.General Corporate Purpose 1017.68.                                                                               </t>
  </si>
  <si>
    <t>Note: Since the company's share were listed on October 03, 2023 we will be considering March 31, 2024 as the 1st Financial Year.</t>
  </si>
  <si>
    <t>Remarks: Latest Financials of Company for FY 22-23 have  been uploaded on the Website of NSE</t>
  </si>
  <si>
    <t>At close of listing day                                           October 03, 2023)</t>
  </si>
  <si>
    <t>At close of 30th calendar day from listing day (01 November, 2023)</t>
  </si>
  <si>
    <t>Rs.97</t>
  </si>
  <si>
    <t xml:space="preserve">1. Repayment in full or in part, of certain of our outstanding borrowings- 500.00 Lakhs ;
2. Funding to meet working capital requirements 2550.00 lakhs; 
3.General Corporate Purpose 1017.68. </t>
  </si>
  <si>
    <t>will be updated with the closure of FY 2025</t>
  </si>
  <si>
    <t>will be updated with the closure of FY 2026</t>
  </si>
  <si>
    <t>MADHUSUDAN MASALA LIMITED</t>
  </si>
  <si>
    <t>2,380.00 Lakhs</t>
  </si>
  <si>
    <t>(ii) at the end of the 1st half year immediately after the listing of the issue March 31, 2024)</t>
  </si>
  <si>
    <t>Will be updated wth the closure of FY 2023</t>
  </si>
  <si>
    <t>Will be updated wth the closure of FY 2024</t>
  </si>
  <si>
    <t>Will be updated wth the closure of FY 2025</t>
  </si>
  <si>
    <t>1. Funding to meet working capital requirements
2. General Corporate Purpose.</t>
  </si>
  <si>
    <t>406.1216 times</t>
  </si>
  <si>
    <t>1. Funding to meet working capital requirements Rs. 2.34 Crore
2. General Corporate Purpose Rs.5 Cr.
3. Public Issue expenditure- Rs. 2.36Cr.</t>
  </si>
  <si>
    <t># STATEMENT OF DEVIATION / VARIATION IN UTILISATION OF FUNDS RAISED THROUGH PUBLIC ISSUE, FOR THE HALF YEAR ENDED SEPTEMBER 30, 2023.</t>
  </si>
  <si>
    <t>Source:MCA Portal &amp; Information provided by the Company.</t>
  </si>
  <si>
    <t>1. Funding to meet working capital requirements 16 Cr.
2. General Corporate Purpose 5.264 Cr.
3. Public Issue expenditure- 2.536 Cr.</t>
  </si>
  <si>
    <t>At close of listing day                                           September 26, 2023)</t>
  </si>
  <si>
    <t>At close of 30th calendar day from listing day (25 October, 2023)</t>
  </si>
  <si>
    <t>NHC Food Limited</t>
  </si>
  <si>
    <t xml:space="preserve">Will be                              updated at                             the end                                      of  F.Y. 2024 </t>
  </si>
  <si>
    <t>Will be                              updated at                             the end                                      of  F.Y. 2025</t>
  </si>
  <si>
    <t>Will be                              updated at                             the end                                      of  F.Y. 2026</t>
  </si>
  <si>
    <r>
      <rPr>
        <b/>
        <sz val="10"/>
        <rFont val="Times New Roman"/>
        <family val="1"/>
      </rPr>
      <t>Issuer:</t>
    </r>
    <r>
      <rPr>
        <sz val="10"/>
        <rFont val="Times New Roman"/>
        <family val="1"/>
      </rPr>
      <t xml:space="preserve"> Madhusudan Masala Limited**</t>
    </r>
  </si>
  <si>
    <t>**Source:  Prospectus dated September 22, 2023 based on restated summary statement for period ended on March 31, 2023.</t>
  </si>
  <si>
    <t>Note: Since the company's share were listed on 26-September-2023 we will be considering March 31, 2024 as the 1st Financial Year.</t>
  </si>
  <si>
    <t>84.32 times</t>
  </si>
  <si>
    <t># Company got listed on October 03, 202, so we will update this once stament of deviation is uploaded by company.</t>
  </si>
  <si>
    <t>**Source:  Prospectus dated September 28, 2023 based on restated summary statement for period ended on March 31, 2023.</t>
  </si>
  <si>
    <t>Remarks: Latest Financials of Company for half year ended September 30, 2023, have been uploaded on the Website of NSE</t>
  </si>
  <si>
    <r>
      <rPr>
        <b/>
        <sz val="10"/>
        <rFont val="Times New Roman"/>
        <family val="1"/>
      </rPr>
      <t>Issuer:</t>
    </r>
    <r>
      <rPr>
        <sz val="10"/>
        <rFont val="Times New Roman"/>
        <family val="1"/>
      </rPr>
      <t xml:space="preserve"> SAAKSHI MEDTECH AND PANELS LIMITED**</t>
    </r>
  </si>
  <si>
    <t xml:space="preserve"> PARAGON FINE AND SPECIALITY CHEMICAL LIMITED</t>
  </si>
  <si>
    <t>₹ 5166.00 Lakhs</t>
  </si>
  <si>
    <t>1. Funding capital expenditure towards civil construction work in the existing
premises of factory- 100.06 lakhs
2. Repayment in full or in part, of certain of our outstanding borrowings- 1290.00
3. Funding Capital Expenditure towards installation of additional plant and machinery for Expansion.-787.42
4. Funding to meet working capital requirements- 1300.00
5. General Corporate Purpose- 1220.90</t>
  </si>
  <si>
    <t>Note: Since the company's share were listed on 03-Nov-2023 we will be considering March 31, 2024 as the 1st Financial Year.</t>
  </si>
  <si>
    <t>At close of listing day                                           November 03, 2023)</t>
  </si>
  <si>
    <t>At close of 90th calendar day from listing day (31 January, 2024)</t>
  </si>
  <si>
    <r>
      <rPr>
        <b/>
        <sz val="10"/>
        <rFont val="Times New Roman"/>
        <family val="1"/>
      </rPr>
      <t>Issuer:</t>
    </r>
    <r>
      <rPr>
        <sz val="10"/>
        <rFont val="Times New Roman"/>
        <family val="1"/>
      </rPr>
      <t xml:space="preserve"> Paragon Fine And Speciality
Chemical Limited **</t>
    </r>
  </si>
  <si>
    <t xml:space="preserve">Will be                              updated at                             the end                                      of 1st F.Y. </t>
  </si>
  <si>
    <t>189.08 times</t>
  </si>
  <si>
    <t>**Source:  Prospectus dated October 31, 2023 based on restated summary statement for period ended on June 30, 2023, March 31, 2023</t>
  </si>
  <si>
    <t>Aether Industries Limited</t>
  </si>
  <si>
    <t>Anupam Rasayan India Ltd</t>
  </si>
  <si>
    <t>Bodal Chemicals Ltd.</t>
  </si>
  <si>
    <t>Deepak Nitrite Ltd</t>
  </si>
  <si>
    <t>Rs. 100 per share</t>
  </si>
  <si>
    <t>GREENCHEF APPLIANCES LIMITED</t>
  </si>
  <si>
    <t>Initial Public Offering (IPO) on NSE EMERGE</t>
  </si>
  <si>
    <t>Rs.  5361.98 lakhs</t>
  </si>
  <si>
    <t>58.49 times</t>
  </si>
  <si>
    <t>(ii) at the end of the 1st half year immediately after the listing of the issue September 30, 2023)</t>
  </si>
  <si>
    <t>will be updated at the end of  1st F .Y.</t>
  </si>
  <si>
    <t xml:space="preserve">1.Funding Capital Expenditure towards installation of additional plant and machinery                                                 2. Funding Capital Expenditure towards construction of factory building                                                           3. Funding of Working capital requirements                                                  4.  General Corporate Purpose                              5.Issue expenses                                              </t>
  </si>
  <si>
    <t xml:space="preserve">1.Funding Capital Expenditure towards installation of additional plant and machinery-514.76                                                 2. Funding Capital Expenditure towards construction of factory building-2500                                                                     3. Funding of Working capital requirements -1000                                                 4.  General Corporate Purpose-868.48                                          5.Issue expenses-478.74                                             </t>
  </si>
  <si>
    <t>Since the shares were listed on July 06, 2023. Hence the information will be updated soon</t>
  </si>
  <si>
    <t xml:space="preserve">1.Funding Capital Expenditure towards installation of additional plant and machinery-514.76                                                 2. Funding Capital Expenditure towards construction of factory building-2500                                                                     3. Funding of Working capital requirements -1000                                                                                                     4.  General Corporate Purpose-868.48                                                                                                               5.Issue expenses-478.74                                             </t>
  </si>
  <si>
    <t>Rs.87</t>
  </si>
  <si>
    <t>At close of listing day                                                      (July 06, 2023)</t>
  </si>
  <si>
    <t>At close of 30th calendar day from listing day (August 04, 2023)</t>
  </si>
  <si>
    <t>At close of 90th calendar day from listing day (October 03, 2023)</t>
  </si>
  <si>
    <t>Index (of the Designated Stock Exchange): CNX/NIFTY</t>
  </si>
  <si>
    <r>
      <rPr>
        <b/>
        <sz val="10"/>
        <rFont val="Times New Roman"/>
        <family val="1"/>
      </rPr>
      <t>Issuer:</t>
    </r>
    <r>
      <rPr>
        <sz val="10"/>
        <rFont val="Times New Roman"/>
        <family val="1"/>
      </rPr>
      <t>Greenchef Appliances Limited**</t>
    </r>
  </si>
  <si>
    <t>Will be                              updated at                             the end                                      of 1st F.Y.</t>
  </si>
  <si>
    <t>Will be                              updated at                             the end                                      of 2nd F.Y.</t>
  </si>
  <si>
    <t>TTK Prestige Limited</t>
  </si>
  <si>
    <t>Hawkins Cookers Limited</t>
  </si>
  <si>
    <t>Stove Kraft Limited</t>
  </si>
  <si>
    <t>Butterfly Gandhimathi Appliances Limited</t>
  </si>
  <si>
    <t>Issuer: Greenchef Appliances Limited**</t>
  </si>
  <si>
    <r>
      <t xml:space="preserve">Issuer: </t>
    </r>
    <r>
      <rPr>
        <sz val="10"/>
        <rFont val="Times New Roman"/>
        <family val="1"/>
      </rPr>
      <t>Greenchef Appliances Limited**</t>
    </r>
  </si>
  <si>
    <t>**Source:  Prospectus dated June 30, 2023 based on restated summary statement for period ended on December 31, 2022.</t>
  </si>
  <si>
    <t>Note: Since the company's share were listed on 06-July-2023 we will be considering March 31, 2024 as the 1st Financial Year.</t>
  </si>
  <si>
    <t>Hemant Surgical Industries Ltd</t>
  </si>
  <si>
    <t>Initial Public Offering (IPO) on SME Platform of Bombay Stock Exchange Limited</t>
  </si>
  <si>
    <t>Rs.  2484.00 lakhs</t>
  </si>
  <si>
    <t>137.78 times</t>
  </si>
  <si>
    <t xml:space="preserve">1. Funding Capital Expenditure towards installation of additional plant and machinery                                                   2. Funding to meet working capital requirements                                                    3. General Corporate Purposes                                                  4.  Issue expenses                                                                           </t>
  </si>
  <si>
    <t xml:space="preserve">1. Funding Capital Expenditure towards installation of additional plant and machinery -751.26 Lakh                                                  2. Funding to meet working capital requirements- 1000 Lakh                                                                                     3. General Corporate Purposes -418.86 Lakh                                               4.  Issue expenses - 313.88 Lakh                            </t>
  </si>
  <si>
    <t xml:space="preserve">1. Funding Capital Expenditure towards installation of additional plant and machinery -751.26 Lakh                                                  2. Funding to meet working capital requirements- 1000 Lakh                                                                                     3. General Corporate Purposes -418.86 Lakh                                                                                                            4.  Issue expenses - 313.88 Lakh                            </t>
  </si>
  <si>
    <t>Rs.90</t>
  </si>
  <si>
    <t>At close of listing day                                                      (June 05, 2023)</t>
  </si>
  <si>
    <t>At close of 30th calendar day from listing day (4th  July, 2023)</t>
  </si>
  <si>
    <t>At close of 90th calendar day from listing day (04 September, 2023)</t>
  </si>
  <si>
    <r>
      <rPr>
        <b/>
        <sz val="10"/>
        <rFont val="Times New Roman"/>
        <family val="1"/>
      </rPr>
      <t>Issuer:</t>
    </r>
    <r>
      <rPr>
        <sz val="10"/>
        <rFont val="Times New Roman"/>
        <family val="1"/>
      </rPr>
      <t>Hemant Surgical Industries Limited**</t>
    </r>
  </si>
  <si>
    <t>Poly Medicure Ltd</t>
  </si>
  <si>
    <t>Issuer: Hemant Surgical Industries Limited**</t>
  </si>
  <si>
    <r>
      <t xml:space="preserve">Issuer: </t>
    </r>
    <r>
      <rPr>
        <sz val="10"/>
        <rFont val="Times New Roman"/>
        <family val="1"/>
      </rPr>
      <t>Hemant Surgical Industries Limited**</t>
    </r>
  </si>
  <si>
    <t>**Source:  Prospectus dated May 30, 2023 based on restated summary statement for period ended on March 31, 2023.</t>
  </si>
  <si>
    <t>Note: Since the company's share were listed on 05-June-2023 we will be considering March 31, 2024 as the 1st Financial Year.</t>
  </si>
  <si>
    <t>ARABIAN PETROLEUM LIMITED</t>
  </si>
  <si>
    <t>Rs.  2024.40 lakhs</t>
  </si>
  <si>
    <t>Wii be updated with the closure of FY 2023</t>
  </si>
  <si>
    <t>Wii be updated with the closure of FY 2024</t>
  </si>
  <si>
    <t>Wii be updated with the closure of FY 2025</t>
  </si>
  <si>
    <t xml:space="preserve">Working Capital Requirement                                                                                                            General Corporate Purposes                                                  Issue expenses                                                                           </t>
  </si>
  <si>
    <t xml:space="preserve">1. To meet the Working Capital Requirements of the Company - Rs. 1400.00 Lakhs                                                                                                                                                                    2.To meet General Corporate Expense -Rs. 486.15 lakhs                                                                                     3. Issue Related Expenses - Rs. 138.25 Lakhs                            </t>
  </si>
  <si>
    <t>_</t>
  </si>
  <si>
    <t># Since the shares were listed on October 09, 2023. Hence the information will be updated soon</t>
  </si>
  <si>
    <t xml:space="preserve">1. To meet the Working Capital Requirements of the Company - Rs. 1400.00 Lakhs                                                                                                                                                                    2.To meet General Corporate Expense -Rs. 486.15 lakhs                                                                                     3. Issue Related Expenses - Rs. 138.25 Lakhs    </t>
  </si>
  <si>
    <t>(ii) Actual utilization #</t>
  </si>
  <si>
    <t>Rs.70</t>
  </si>
  <si>
    <t>At close of listing day                                           (October 09, 2023)</t>
  </si>
  <si>
    <t>At close of 30th calendar day from listing day (November 07, 2023)</t>
  </si>
  <si>
    <r>
      <rPr>
        <b/>
        <sz val="10"/>
        <rFont val="Times New Roman"/>
        <family val="1"/>
      </rPr>
      <t>Issuer:</t>
    </r>
    <r>
      <rPr>
        <sz val="10"/>
        <rFont val="Times New Roman"/>
        <family val="1"/>
      </rPr>
      <t xml:space="preserve"> ARABIAN PETROLEUM LIMITED **</t>
    </r>
  </si>
  <si>
    <t>Tide Water Oil Co. (India)
Limited</t>
  </si>
  <si>
    <t>GP Petroleums Limited</t>
  </si>
  <si>
    <t>Issuer: ARABIAN PETROLEUM LIMITED**</t>
  </si>
  <si>
    <r>
      <t xml:space="preserve">Issuer: </t>
    </r>
    <r>
      <rPr>
        <sz val="10"/>
        <rFont val="Times New Roman"/>
        <family val="1"/>
      </rPr>
      <t>ARABIAN PETROLEUM LIMITED*</t>
    </r>
  </si>
  <si>
    <t>**Source:  Prospectus dated September 18, 2023 based on restated summary statement for period ended on March 31, 2023.</t>
  </si>
  <si>
    <t>Note: Since the company's share were listed on October 09, 2023 we will be considering March 31, 2024 as the 1st Financial Year.</t>
  </si>
  <si>
    <t>Remarks: Latest Financials of Company for FY 23-24 have not been uploaded on the Website of NSE</t>
  </si>
  <si>
    <t xml:space="preserve">KAHAN PACKAGING LIMITED
</t>
  </si>
  <si>
    <t>Initial Public Offering (IPO) on SME Platform of BSE (“BSE SME”).</t>
  </si>
  <si>
    <t>₹576.00 Lakhs</t>
  </si>
  <si>
    <t>711.44 times</t>
  </si>
  <si>
    <t>(ii) at the end of the 1st Half Year immediately after the listing of the issue (September 30, 2023)</t>
  </si>
  <si>
    <t>will be updated at the end of 1st  F.Y.</t>
  </si>
  <si>
    <t xml:space="preserve">1. To meet working capital requirements;
2. General Corporate Purpose;                                                                  </t>
  </si>
  <si>
    <t xml:space="preserve">1. To meet working capital requirements;--400.00 Lakh
2. General Corporate Purpose; -- 94.07 Lakh                                                                                                  </t>
  </si>
  <si>
    <t xml:space="preserve">1. To meet working capital requirements;--233.93 Lakh
2. General Corporate Purpose; -- 94.07 Lakh                                                                                                  </t>
  </si>
  <si>
    <t>No
deviation
from object</t>
  </si>
  <si>
    <t>No deviation from object</t>
  </si>
  <si>
    <t>80/-</t>
  </si>
  <si>
    <t>At close of listing day 
(September 15, 2023)</t>
  </si>
  <si>
    <t># BSE SME does not have any sectoral index for the Packaging sector</t>
  </si>
  <si>
    <r>
      <t xml:space="preserve">Issuer: </t>
    </r>
    <r>
      <rPr>
        <sz val="10"/>
        <rFont val="Times New Roman"/>
        <family val="1"/>
      </rPr>
      <t>Kahan Packaging Limited*</t>
    </r>
  </si>
  <si>
    <t>Sah Polymers Limited</t>
  </si>
  <si>
    <t>Rishi Techtex Limited</t>
  </si>
  <si>
    <t>Uflex Ltd</t>
  </si>
  <si>
    <t>*Source:  Prospectus dated August 31, 2023 based on restated summary statement for period ended on September 30, 2023</t>
  </si>
  <si>
    <t>Note: Since the company's share were listed on September 15, 2023 we will be considering March 31, 2024 as the 1st Financial Year.</t>
  </si>
  <si>
    <t>Remarks: Latest Financials of Company for FY 2023-24 have not been uploaded on the Website of BSE</t>
  </si>
  <si>
    <t xml:space="preserve">VASA DENTICITY LIMITED
</t>
  </si>
  <si>
    <t>₹5406.72 lakhs</t>
  </si>
  <si>
    <t>40.02 times</t>
  </si>
  <si>
    <t xml:space="preserve">1. To Meet Working Capital Requirements;
2. Expenditure to enhance visibility and awareness of our brands
3. General Corporate Purposes;
4. To meet Offer Expenses.                                                                      </t>
  </si>
  <si>
    <t xml:space="preserve">1. To Meet Working Capital Requirements;--2600.00 Lakh
2. Expenditure to enhance visibility and awareness of our brands--300.00 Lakh
3. General Corporate Purposes;--866.43 Lakh
4. To meet Offer Expenses--394.30 Lakh                                                                                                        </t>
  </si>
  <si>
    <t xml:space="preserve">1. To Meet Working Capital Requirements;--1114.42 Lakh
2. Expenditure to enhance visibility and awareness of our brands--28.15 Lakh
3. General Corporate Purposes;--122.74 Lakh
4. To meet Offer Expenses--296.29 Lakh                                                                                                        </t>
  </si>
  <si>
    <t xml:space="preserve">1. To Meet Working Capital Requirements;--1114.42 Lakh
2. Expenditure to enhance visibility and awareness of our brands--28.15 Lakh
3. General Corporate Purposes;--122.74 Lakh
4. To meet Offer Expenses--296.29 Lakh   </t>
  </si>
  <si>
    <t>128/-</t>
  </si>
  <si>
    <t>At close of listing day 
(June 02, 2023)</t>
  </si>
  <si>
    <t># NSE Emerge does not have any sectoral index for the dental Sector</t>
  </si>
  <si>
    <r>
      <t xml:space="preserve">Issuer: </t>
    </r>
    <r>
      <rPr>
        <sz val="10"/>
        <rFont val="Times New Roman"/>
        <family val="1"/>
      </rPr>
      <t>Vasa Denticity Limited*</t>
    </r>
  </si>
  <si>
    <t>Prevest Denpro Ltd.</t>
  </si>
  <si>
    <t>20.26%</t>
  </si>
  <si>
    <t>*Source:  Prospectus dated May 29, 2023 based on restated summary statement for period ended on September 30, 2023</t>
  </si>
  <si>
    <t>Note: Since the company's share were listed on June 02, 2023 we will be considering March 31, 2024 as the 1st Financial Year.</t>
  </si>
  <si>
    <t>Remarks: Latest Financials of Company for FY 2023-24 have not been uploaded on the Website of NSE</t>
  </si>
  <si>
    <t>Asarfi Hospital Limited</t>
  </si>
  <si>
    <t>Rs 2693.60 lakhs</t>
  </si>
  <si>
    <t>195.14 Times</t>
  </si>
  <si>
    <t>3,44,000</t>
  </si>
  <si>
    <t>(ii) at the end of the 1st Quarter immediately after the listing of the issue (September 30, 2023)</t>
  </si>
  <si>
    <t>1st FY *(2023-24)</t>
  </si>
  <si>
    <t>Gopal Singh was appointed as Director w.e. f August 10, 2023.</t>
  </si>
  <si>
    <t xml:space="preserve">Part Funding of Capital Expenditure of Cancer Hospital at Ranguni, Jharkhand. </t>
  </si>
  <si>
    <t>Part Funding of Capital Expenditure of Cancer Hospital at Ranguni, Jharkhand.  1221.60 lakhs</t>
  </si>
  <si>
    <t xml:space="preserve">Acquiring Land on Leasehold basis for Health Management and Research Institute at Ranchi, Jharkhand </t>
  </si>
  <si>
    <t>Acquiring Land on Leasehold basis for Health Management and Research Institute at Ranchi, Jharkhand 765.43 lakhs</t>
  </si>
  <si>
    <t>General Corporate Purpose</t>
  </si>
  <si>
    <t>General Corporate Purpose 323.24 lakhs</t>
  </si>
  <si>
    <t># Actual implementation of funds has not been updated by Company till date on BSE.</t>
  </si>
  <si>
    <t>Rs. 52/-</t>
  </si>
  <si>
    <t>At close of listing day (July 26, 2023)</t>
  </si>
  <si>
    <t>At close of 30th calendar day from listing day (August 24, 2023)</t>
  </si>
  <si>
    <t>At the end of 1st FY (2023-24)</t>
  </si>
  <si>
    <r>
      <t xml:space="preserve">Issuer: </t>
    </r>
    <r>
      <rPr>
        <sz val="10"/>
        <rFont val="Times New Roman"/>
        <family val="1"/>
      </rPr>
      <t>Asarfi Hospital Limited</t>
    </r>
    <r>
      <rPr>
        <b/>
        <sz val="10"/>
        <rFont val="Times New Roman"/>
        <family val="1"/>
      </rPr>
      <t>**</t>
    </r>
  </si>
  <si>
    <t xml:space="preserve">Shalby Limited </t>
  </si>
  <si>
    <t xml:space="preserve">Global Health Limited </t>
  </si>
  <si>
    <t xml:space="preserve">KMC Speciality Hospitals (India) Ltd. </t>
  </si>
  <si>
    <r>
      <t xml:space="preserve">Issuer: </t>
    </r>
    <r>
      <rPr>
        <sz val="10"/>
        <rFont val="Times New Roman"/>
        <family val="1"/>
      </rPr>
      <t>Asarfi Hospital Limited**</t>
    </r>
    <r>
      <rPr>
        <b/>
        <sz val="10"/>
        <rFont val="Times New Roman"/>
        <family val="1"/>
      </rPr>
      <t xml:space="preserve"> </t>
    </r>
  </si>
  <si>
    <r>
      <rPr>
        <b/>
        <sz val="10"/>
        <rFont val="Times New Roman"/>
        <family val="1"/>
      </rPr>
      <t>Issuer:</t>
    </r>
    <r>
      <rPr>
        <sz val="10"/>
        <rFont val="Times New Roman"/>
        <family val="1"/>
      </rPr>
      <t xml:space="preserve"> Asarfi Hospital Limited**</t>
    </r>
  </si>
  <si>
    <r>
      <t xml:space="preserve">Issuer: </t>
    </r>
    <r>
      <rPr>
        <sz val="10"/>
        <rFont val="Times New Roman"/>
        <family val="1"/>
      </rPr>
      <t>Asarfi Hospital Limited</t>
    </r>
    <r>
      <rPr>
        <b/>
        <sz val="10"/>
        <rFont val="Times New Roman"/>
        <family val="1"/>
      </rPr>
      <t xml:space="preserve"> **</t>
    </r>
  </si>
  <si>
    <t xml:space="preserve">**Source:  Prospectus dated July 21, 2023 - based on restated summary statement for the financial year 2023-24.
</t>
  </si>
  <si>
    <t>Note: Since the company's share were listed on July 26, 2023 , we are considering March 31, 2024 as the 1st Financial Year.</t>
  </si>
  <si>
    <t xml:space="preserve">1. Funding Capital Expenditure towards installation of additional plant and machinery -137.00 Lakh                                                  2. Funding to meet working capital requirements- 225.00 Lakh                                                                                     3. General Corporate Purposes -344.94 Lakh                                               4.  Issue expenses - 312.40 Lakh                            </t>
  </si>
  <si>
    <t>(ii) Actual implementation</t>
  </si>
  <si>
    <t>1. Funding Capital Expenditure towards installation of additional plant and machinery -137.00 Lakh                                                  2. Funding to meet working capital requirements- 225.00 Lakh                                                                                     3. General Corporate Purposes -344.94 Lakh                                                             
   4.  Issue expenses - 312.40 Lakh</t>
  </si>
  <si>
    <t>Kaka Industries Limited</t>
  </si>
  <si>
    <t>Rs. 2122.80 lakhs</t>
  </si>
  <si>
    <t>(ii) at the end of the 1st half Year immediately after the listing of the issue  (September 30, 2023)</t>
  </si>
  <si>
    <t>will be                                                 updated at                                            the end of                                               1st F.Y.</t>
  </si>
  <si>
    <t>1. Working Capital Requirement   
2. Repayment and/or pre-payment, in full or part, of certain borrowings availed by our company;
3. General Corporate Purposes                                                                                                                             4. Issue Related expenses in relation to issue</t>
  </si>
  <si>
    <t xml:space="preserve">1. To meet the Working Capital Requirements of the Company - Rs. 775 Lakhs  
2. Repayment and/or pre-payment, in full or part, of certain borrowings availed by our company- Rs. 730.00 lakhs                                                                                                                                                                    3.To meet General Corporate Expense -Rs. 383.80
 lakhs                                                                                          4. To meet issue related expenses in relation to issue- Rs.234 lakhs </t>
  </si>
  <si>
    <t xml:space="preserve">1. To meet the Working Capital Requirements of the Company - Rs. 775 Lakhs  
2. Repayment and/or pre-payment, in full or part, of certain borrowings availed by our company- Rs. 730.00 lakhs                                                                                                                                                                    3.To meet General Corporate Expense -Rs. 383.80 lakhs                                                                                     4. Issue Related Expenses in relation to issue- Rs. 234.00 Lakhs     </t>
  </si>
  <si>
    <t>Rs. 58/-</t>
  </si>
  <si>
    <t>At close of listing day                  July 19, 2023)</t>
  </si>
  <si>
    <t>Issuer: Kaka Industries Limited**</t>
  </si>
  <si>
    <t>**Source:  Prospectus dated July 14, 2023 based on restated summary statement for period ended on March 31, 2023</t>
  </si>
  <si>
    <t>Note: Since the company's share were listed on July 19, 2023. we will be considering March 31, 2024 as the 1st Financial Year.</t>
  </si>
  <si>
    <t>Remarks: Latest Financials of Company for FY 23-24 have not been uploaded on the Website of BSE</t>
  </si>
  <si>
    <t xml:space="preserve">E Factor Experiences Limited
 </t>
  </si>
  <si>
    <t>Initial Public Offering (IPO) on SME Platform of  National Stock Exchange of India Limited</t>
  </si>
  <si>
    <t>Rs. 2,592 lakhs</t>
  </si>
  <si>
    <t>(ii) at the end of the 1st half Year immediately after the listing of the issue  (March 31, 2024)</t>
  </si>
  <si>
    <t>will be updated at the end of 1st Half year .</t>
  </si>
  <si>
    <t>will be                                                 updated at                                            the end of                                               1st  F.Y.</t>
  </si>
  <si>
    <t>*Will be updated once the company makes necessary disclosures on the website of National Stock Exchange of India Limited.</t>
  </si>
  <si>
    <t xml:space="preserve">1. Investment in Subsidiary 
2. To Meet Workign Capital Requirement 
3. Repayment and/ or Prepayment in full or part, of  certain borrowings availed by the company
 4. General Corporate Purpose </t>
  </si>
  <si>
    <t>1. Investment in Subsidiary :  Rs. 200 Lakhs 
2. To Meet Workign Capital Requirement: Rs. 1300 Lakhs.
3. Repayment and/ or Prepayment in full or part, of  certain borrowings availed by the company: Rs.350 Lakhs.
 4. General Corporate Purpose Rs. 478.54 Lakhs</t>
  </si>
  <si>
    <t>1. Investment in Subsidiary :  Nil. 
2. To Meet Workign Capital Requirement: Nil.
3. Repayment and/ or Prepayment in full or part, of  certain borrowings availed by the company: Nil.
 4. General Corporate Purpose : Nil.</t>
  </si>
  <si>
    <t># Since the company's share were listed on October  9, 2023 hence the same will be soon updated</t>
  </si>
  <si>
    <t>1. Investment in Subsidiary Rs. 200 Lakhs 
2. Funding Workign Capital Requirement Rs 1,300 Lakhs
3. Repayment of certain borrowings Rs. 350 Lakhs  
 4. General Corporate Purpose Rs. 478.54 Lakhs</t>
  </si>
  <si>
    <t>1. Investment in Subsidiary : NIL 
2. Funding Workign Capital Requirement : NIL
3. Repayment of certain borrowings : NIL           
4. General Corporate Purpose : NIL</t>
  </si>
  <si>
    <t># Since the company's share were listed on October 9, 2023 hence the same will be soon updated</t>
  </si>
  <si>
    <t>75/-</t>
  </si>
  <si>
    <t>At close of listing day                  October  9, 2023)</t>
  </si>
  <si>
    <t>Index (of the Designated Stock Exchange): NSE Nifty</t>
  </si>
  <si>
    <t># NSE EMERGE  does not have any sectoral index for the Event Management.</t>
  </si>
  <si>
    <t>Issuer: EFEL**</t>
  </si>
  <si>
    <t xml:space="preserve">Will be                              updated at                             the end                                      of 1 st  F.Y. </t>
  </si>
  <si>
    <t>Touchwood Entertainment Limited</t>
  </si>
  <si>
    <t>**Source:  Prospectus dated October  05, 2023 based on restated summary statement for period ended on March 31, 2023</t>
  </si>
  <si>
    <t>Note: Since the company's share were listed on October 9, 2023. we will be considering March 31, 2024 as the 1st Financial Year.</t>
  </si>
  <si>
    <t>SHANTI SPINTEX LIMITED</t>
  </si>
  <si>
    <t>Rs. 3124.80 lakhs</t>
  </si>
  <si>
    <t>Will be Updated after completion of 1st half year</t>
  </si>
  <si>
    <t>(ii) at the end of the 1st half Year immediately after the listing of the issue</t>
  </si>
  <si>
    <t>1. To meet working capital requirement 
2. General Corporate purpose
3. Offer Related expenses in relation to offer</t>
  </si>
  <si>
    <t xml:space="preserve">1. To meet the Working Capital Requirements of the Company - Rs. 1755.00 Lakhs                                                                                                                                                                     2.To meet General Corporate Expense -Rs. 1.06  lakhs   
3. Offer related expenses in relation to offer - Rs. 125.54 Lakhs                                                                                      </t>
  </si>
  <si>
    <t xml:space="preserve">1. To meet the Working Capital Requirements of the Company - Rs. 1755 Lakhs                                                                                                                                                                     2.To meet General Corporate Expense -Rs. 1.06 lakhs   
3. Offer related expenses in relation to offer - Rs. 125.54 Lakhs  </t>
  </si>
  <si>
    <t xml:space="preserve">1. To meet the Working Capital Requirements of the Company - Rs. 754.30 Lakhs                                                                                                                                                                     2.To meet General Corporate Expense -Rs. 1.06  lakhs   
3. Offer related expenses in relation to offer - Rs. 17.03 Lakhs                                                                                      </t>
  </si>
  <si>
    <t>Rs. 70/-</t>
  </si>
  <si>
    <t>At close of listing day                  (December 27, 2023)</t>
  </si>
  <si>
    <t>At close of 30th calendar day from listing day (January 25, 2024)</t>
  </si>
  <si>
    <t>Issuer: Shanti Spintex Limited**</t>
  </si>
  <si>
    <t>Jindal Worldwide Ltd</t>
  </si>
  <si>
    <t>R&amp;B Denims Limited</t>
  </si>
  <si>
    <t>Manomay Tex India
Limited</t>
  </si>
  <si>
    <t>United Polyfab Gujarat
Ltd</t>
  </si>
  <si>
    <t>**Source:  Prospectus dated December 22, 2023 based on restated summary statement for period ended on September 30, 2023</t>
  </si>
  <si>
    <t>Note: Since the company's share were listed on December 27, 2023 . we will be considering March 31, 2024 as the 1st Financial Year.</t>
  </si>
  <si>
    <t>DEEPAK CHEMTEX LIMITED</t>
  </si>
  <si>
    <t>Rs. 2,304.00 lakhs</t>
  </si>
  <si>
    <t>1. Funding capital expenditure towards installation of plant &amp; machinery in our existing
premises.
2. Investment in our subsidiary DCPL Speciality Chemicals Private Limited for
financing its capital expenditure towards installation of plant and machinery.
3. Funding to meet working capital requirements
4. General Corporate Purpose.
5. Issue related expenses in relation to Issue</t>
  </si>
  <si>
    <t xml:space="preserve">1. Funding capital expenditure towards installation of plant &amp; machinery in our existing
premises. - Rs. 54.50 Lakhs
2. Investment in our subsidiary DCPL Speciality Chemicals Private Limited for financing its capital expenditure towards installation of plant and machinery. - Rs. 269.54 Lakhs
3. Funding to meet working capital requirements - Rs. 1250.00 Lakhs
4. General Corporate Purpose. Rs. 497.39 Lakhs
5. Issue related expenses in relation to Issue - Rs. 232.27 Lakhs </t>
  </si>
  <si>
    <t>Rs. 80/-</t>
  </si>
  <si>
    <t>At close of listing day                  (December 06, 2023)</t>
  </si>
  <si>
    <t>At close of 30th calendar day from listing day (January 04, 2024)</t>
  </si>
  <si>
    <t>**Source:  Prospectus dated December 06, 2023 based on restated summary statement for period ended on September 30, 2023</t>
  </si>
  <si>
    <t>Issuer: DEEPAK CHEMTEX LIMITED**</t>
  </si>
  <si>
    <t>Vidhi Specialty Food
Ingredients Limited</t>
  </si>
  <si>
    <t>Vipul Organics Limited</t>
  </si>
  <si>
    <t>Kiri Industries Limited</t>
  </si>
  <si>
    <t>SIYARAM RECYCLING INDUSTRIES LIMITED</t>
  </si>
  <si>
    <t>Rs. 2296.32 Lakhs</t>
  </si>
  <si>
    <t xml:space="preserve">1. Repayment of a portion of certain borrowing availed by our Company 
2. General Corporate Purpose </t>
  </si>
  <si>
    <t xml:space="preserve">1. Repayment of a portion of certain borrowing availed by our Company-Rs. 1800.00 Lakhs 
2. General Corporate Purpose- Rs. 236.32 Lakhs </t>
  </si>
  <si>
    <t>1. Repayment of a portion of certain borrowing availed by our Company- NIL 
2. General Corporate Purpose- NIL</t>
  </si>
  <si>
    <t>(ii) Actual utilization#</t>
  </si>
  <si>
    <t>Rs. 46/-</t>
  </si>
  <si>
    <t>At close of listing day                  (December 21, 2023)</t>
  </si>
  <si>
    <t>At close of 30th calendar day from listing day (January 20, 2024)</t>
  </si>
  <si>
    <t>Issuer: Siyaram Recycling Industries Limited **</t>
  </si>
  <si>
    <t>Sprayking Agro
Equipment Limited</t>
  </si>
  <si>
    <t>Poojawestern Metaliks
Limited</t>
  </si>
  <si>
    <t>**Source:  Prospectus dated December 19, 2023 based on restated summary statement for period ended on September 30, 2023</t>
  </si>
  <si>
    <t>Note: Since the company's share were listed on December 21, 2023 . we will be considering March 31, 2024 as the 1st Financial Year.</t>
  </si>
  <si>
    <t>1. Funding capital expenditure towards installation of plant &amp; machinery in our existing premises. - NIL
2. Investment in our subsidiary DCPL Speciality Chemicals Private Limited for financing its capital expenditure towards installation of plant and machinery. - NIL
3. Funding to meet working capital requirements - NIL
4. General Corporate Purpose. NIL
5. Issue related expenses in relation to Issue - NIL</t>
  </si>
  <si>
    <t xml:space="preserve">1. Funding capital expenditure towards installation of plant &amp; machinery in our existing premises. - Rs. 54.50 Lakhs
2. Investment in our subsidiary DCPL Speciality Chemicals Private Limited for financing its capital expenditure towards installation of plant and machinery. - Rs. 269.54 Lakhs
3. Funding to meet working capital requirements - Rs. 1250.00 Lakhs
4. General Corporate Purpose. Rs. 497.39 Lakhs
5. Issue related expenses in relation to Issue - Rs. 232.27 Lakhs </t>
  </si>
  <si>
    <t>HARSHDEEP HORTICO LIMITED</t>
  </si>
  <si>
    <t>Rs. 1908.90 Lakhs</t>
  </si>
  <si>
    <t>1. Repayment and/or pre-payment, in full or part, of certain borrowings availed by our Company
2. To meet Working Capital requirements
3. General Corporate Purpose</t>
  </si>
  <si>
    <t>1. Repayment and/or pre-payment, in full or part, of certain borrowings availed by our Company- Rs. 407.94 Lakhs
2. To meet Working Capital requirements- Rs. 900.00 Lakhs
3. General Corporate Purpose- Rs. 364.25 Lakhs</t>
  </si>
  <si>
    <t>1. Repayment and/or pre-payment, in full or part, of certain borrowings availed by our Company- NIL
2. To meet Working Capital requirements- NIL
3. General Corporate Purpose- NIL</t>
  </si>
  <si>
    <t># Since the company's shares were listed on December 21, 2023, hence the same will be updated soon.</t>
  </si>
  <si>
    <t># Since the company's shares were listed on February 05, 2024, hence the same will be updated soon.</t>
  </si>
  <si>
    <t># Since the company's shares were listed on December 27, 2023, hence the same will be updated soon.</t>
  </si>
  <si>
    <t>Rs. 45/-</t>
  </si>
  <si>
    <t>At close of listing day                  (February 05, 2024)</t>
  </si>
  <si>
    <t>Issuer: Harshdeep Hortico Limited **</t>
  </si>
  <si>
    <t>Not Available</t>
  </si>
  <si>
    <t>**Source:  Prospectus dated January 31, 2024 based on restated summary statement for period ended on July 31, 2023</t>
  </si>
  <si>
    <t>Note: Since the company's share were listed on February 05, 2024 . we will be considering March 31, 2024 as the 1st Financial Year.</t>
  </si>
  <si>
    <t>NEW SWAN MULTITECH LIMITED</t>
  </si>
  <si>
    <t>Rs. 3310.56 Lakhs</t>
  </si>
  <si>
    <t>1. Funding of capital expenditure towards purchase of certain machineries for existing manufacturing unit located at Raian, Ludhiana
2. Repayment of a portion of certain borrowing availed by our Company
3. To meet working capital requirements 
4. General Corporate Purpose</t>
  </si>
  <si>
    <t>1. Funding of capital expenditure towards purchase of certain machineries for existing manufacturing unit located at Raian, Ludhiana- Rs. 390.05 Lakhs
2. Repayment of a portion of certain borrowing availed by our Company- Rs. 800.00 Lakhs
3. To meet working capital requirements - Rs. 1550.00 Lakhs
4. General Corporate Purpose- Rs. 145.12 Lakhs</t>
  </si>
  <si>
    <t>1. Funding of capital expenditure towards purchase of certain machineries for existing manufacturing unit located at Raian, Ludhiana- Nil
2. Repayment of a portion of certain borrowing availed by our Company- Nil
3. To meet working capital requirements - Nil
4. General Corporate Purpose- Nil</t>
  </si>
  <si>
    <t># Since the company's shares were listed on January 18, 2024, hence the same will be updated soon.</t>
  </si>
  <si>
    <t>Rs. 66/-</t>
  </si>
  <si>
    <t>At close of listing day                  (January 18, 2024)</t>
  </si>
  <si>
    <t>Issuer: New Swan Multitech Ltd **</t>
  </si>
  <si>
    <t>Sansera Engineering Limited</t>
  </si>
  <si>
    <t>Endurance Technologies
Limited</t>
  </si>
  <si>
    <t>JBM Auto Limited</t>
  </si>
  <si>
    <t>**Source:  Prospectus dated January 16, 2024 based on restated summary statement for period ended on September 30, 2023</t>
  </si>
  <si>
    <t>Note: Since the company's share were listed on January 18, 2024 . we will be considering March 31, 2024 as the 1st Financial Year.</t>
  </si>
  <si>
    <t>MEGATHERM INDUCTION LIMITED</t>
  </si>
  <si>
    <t>Initial Public Offering (IPO) on SME Platform of NSE (NSE EMERGE)</t>
  </si>
  <si>
    <t>5391.36 Lakhs</t>
  </si>
  <si>
    <t>179.55 times</t>
  </si>
  <si>
    <t>will be updated at the after end of the 1st half Year immediately after the listing of the issue.</t>
  </si>
  <si>
    <t>*Will be updated once the company makes necessary disclosures on the website of NSE.</t>
  </si>
  <si>
    <t>1. Funding capital expenditure towards construction of factory shed and installation of additional plant and machinery                                                                                              2.To meet working capital requirements                                 3.General Corporate Purpose</t>
  </si>
  <si>
    <t>1. Funding capital expenditure towards construction of factory shed and installation of additional plant and machinery : Rs. 1490.37                                                                                             2.To meet working capital requirements: Rs. 2600 Lakhs                                3.General Corporate Purpose: Rs. 724.71 Lakhs</t>
  </si>
  <si>
    <t xml:space="preserve">1. Funding Capital Expenditure towards installation of additional plant and machinery : NIL  
2. Funding of working capital requirement: NIL
3. General Corporate Purposes : NIL                                                                                                                 </t>
  </si>
  <si>
    <t># Since the company's share were listed on February 05, 2024 hence the same will be soon updated</t>
  </si>
  <si>
    <t xml:space="preserve">1. Funding capital expenditure towards construction of factory shed and installation of additional plant and machinery : Rs. 1490.37                                                                                             2.To meet working capital requirements: Rs. 2600 Lakhs                                3.General Corporate Purpose: Rs. 724.71 Lakhs. </t>
  </si>
  <si>
    <t>108 /-</t>
  </si>
  <si>
    <t xml:space="preserve">Index (of the Designated Stock Exchange): Nifty </t>
  </si>
  <si>
    <t># NSE Emerge  does not have any sectoral index for the Capital Goods.</t>
  </si>
  <si>
    <t>Issuer: MIL**</t>
  </si>
  <si>
    <t xml:space="preserve">Will be                              updated at                             the end                                      of 1st  F.Y. </t>
  </si>
  <si>
    <t>Peer Group: Electrotherm (India) Ltd</t>
  </si>
  <si>
    <t>**Source:  Prospectus dated February 01, 2024 based on restated summary statement for period ended on September 30, 2023</t>
  </si>
  <si>
    <t>Note: Since the company's share were listed on February 05 , 2024 . we will be considering March 31, 2024 as the 1st Financial Year.</t>
  </si>
  <si>
    <t>Remarks: Latest Financials of Company for FY 23-24  will be uploaded on the Website of NSE</t>
  </si>
  <si>
    <t>SHRI BALAJI VALVE COMPONENTS LIMITED</t>
  </si>
  <si>
    <t>Initial Public Offering (IPO) on SME Platform of BSE Ltd</t>
  </si>
  <si>
    <t>2160 Lakhs</t>
  </si>
  <si>
    <t>254.29 times</t>
  </si>
  <si>
    <t>*Will be updated once the company makes necessary disclosures on the website of BSE</t>
  </si>
  <si>
    <t>1. Funding capital expenditure towards installation of additional plant and machinery                                                                                              2.To meet working capital requirements                                 3.General Corporate Purpose</t>
  </si>
  <si>
    <t>1. Funding capital expenditure towards installation of additional plant and machinery : Rs.  805.01 Lakhs                                                                                            2.To meet working capital requirements: Rs. 750 Lakhs                                3.General Corporate Purpose: Rs. 396.69 Lakhs</t>
  </si>
  <si>
    <t># Since the company's share were listed on January 03, 2024 hence the same will be soon updated</t>
  </si>
  <si>
    <t>100 /-</t>
  </si>
  <si>
    <t>At close of listing day                  January 03, 2024)</t>
  </si>
  <si>
    <t>At close of 30th calendar day from listing day (February 01, 2024)</t>
  </si>
  <si>
    <t># BSE SME  does not have any sectoral index for the Valve Components.</t>
  </si>
  <si>
    <t>Issuer: SBVCL**</t>
  </si>
  <si>
    <t>**Source:  Prospectus dated December 31, 2023 based on restated summary statement for period ended on June 30, 2023</t>
  </si>
  <si>
    <t>Note: Since the company's share were listed on February 30, 2024. we will be considering March 31, 2024 as the 1st Financial Year.</t>
  </si>
  <si>
    <t>409.88 times</t>
  </si>
  <si>
    <t>396.55 times</t>
  </si>
  <si>
    <t>116.33 times</t>
  </si>
  <si>
    <t>At close of 90th calendar day from listing day (October 25, 2023)</t>
  </si>
  <si>
    <t>At close of 90th calendar day from listing day (26th December 2023)</t>
  </si>
  <si>
    <t>At close of 90th calendar day from listing day (01st January, 2024)</t>
  </si>
  <si>
    <t>At close of 90th calendar day from listing day ( January 08, 2024)</t>
  </si>
  <si>
    <t>At close of 30th calendar day from listing day (04 December, 2023)</t>
  </si>
  <si>
    <t>S J LOGISTICS (INDIA) LIMITED</t>
  </si>
  <si>
    <t>Initial Public Offering (IPO) on SME Platform of NSE Ltd</t>
  </si>
  <si>
    <t>4800 Lakhs</t>
  </si>
  <si>
    <t>290.49 times</t>
  </si>
  <si>
    <t>1. Repayment and/or pre-payment, in full or part, of certain borrowings availed by our Company                                                                                              2.To meet working capital requirements                                 3.General Corporate Purpose</t>
  </si>
  <si>
    <t>1. Repayment and/or pre-payment, in full or part, of certain borrowings availed by our Company : Rs.  1450 Lakhs                                                                                            2.To meet working capital requirements: Rs. 1680 Lakhs                                3.General Corporate Purpose: Rs. 1147 Lakhs</t>
  </si>
  <si>
    <t># Since the company's share were listed on December 19, 2023 hence the same will be soon updated</t>
  </si>
  <si>
    <t>125/-</t>
  </si>
  <si>
    <t>At close of listing day                  (December 19, 2023)</t>
  </si>
  <si>
    <t>At close of 30th calendar day from listing day (January 17, 2024)</t>
  </si>
  <si>
    <t>Index (of the Designated Stock Exchange): NSE SENSEX</t>
  </si>
  <si>
    <t># NSE EMERGE  does not have any sectoral index for the Logistic Sector.</t>
  </si>
  <si>
    <t>Issuer: SJLOGISTIC*</t>
  </si>
  <si>
    <t>Cargotrans Maritime Limited</t>
  </si>
  <si>
    <t>*Source:  Prospectus dated December 15, 2023 based on restated summary statement for period ended on September 30, 2023.</t>
  </si>
  <si>
    <t>Note: Since the company's share were listed on December 19, 2023, we will be considering March 31, 2024 as the 1st Financial Year.</t>
  </si>
  <si>
    <t>will be updated at the end fo FY 24</t>
  </si>
  <si>
    <t>will be updated at the end fo FY 25</t>
  </si>
  <si>
    <t>will be updated at the end fo FY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</si>
</sst>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00"/>
    <numFmt numFmtId="166" formatCode="0.0"/>
    <numFmt numFmtId="167" formatCode="0.0%"/>
    <numFmt numFmtId="168" formatCode="0.0000%"/>
    <numFmt numFmtId="169" formatCode="0.00000%"/>
    <numFmt numFmtId="170" formatCode="0.0000"/>
  </numFmts>
  <fonts count="26" x14ac:knownFonts="1">
    <font>
      <sz val="11"/>
      <color theme="1"/>
      <name val="Calibri"/>
      <family val="2"/>
      <scheme val="minor"/>
    </font>
    <font>
      <sz val="11"/>
      <color theme="1"/>
      <name val="Calibri"/>
      <family val="2"/>
      <scheme val="minor"/>
    </font>
    <font>
      <b/>
      <u/>
      <sz val="10"/>
      <name val="Times New Roman"/>
      <family val="1"/>
    </font>
    <font>
      <b/>
      <sz val="10"/>
      <color theme="1"/>
      <name val="Times New Roman"/>
      <family val="1"/>
    </font>
    <font>
      <b/>
      <sz val="10"/>
      <name val="Times New Roman"/>
      <family val="1"/>
    </font>
    <font>
      <sz val="10"/>
      <color theme="1"/>
      <name val="Times New Roman"/>
      <family val="1"/>
    </font>
    <font>
      <sz val="10"/>
      <name val="Times New Roman"/>
      <family val="1"/>
    </font>
    <font>
      <i/>
      <sz val="9"/>
      <name val="Times New Roman"/>
      <family val="1"/>
    </font>
    <font>
      <i/>
      <sz val="10"/>
      <name val="Times New Roman"/>
      <family val="1"/>
    </font>
    <font>
      <b/>
      <sz val="10"/>
      <color rgb="FFFF0000"/>
      <name val="Times New Roman"/>
      <family val="1"/>
    </font>
    <font>
      <b/>
      <sz val="10"/>
      <color theme="1" tint="4.9989318521683403E-2"/>
      <name val="Times New Roman"/>
      <family val="1"/>
    </font>
    <font>
      <sz val="10"/>
      <color rgb="FF000000"/>
      <name val="Times New Roman"/>
      <family val="1"/>
    </font>
    <font>
      <b/>
      <sz val="10"/>
      <color indexed="8"/>
      <name val="Times New Roman"/>
      <family val="1"/>
    </font>
    <font>
      <b/>
      <i/>
      <sz val="10"/>
      <name val="Times New Roman"/>
      <family val="1"/>
    </font>
    <font>
      <i/>
      <sz val="10"/>
      <color theme="1"/>
      <name val="Times New Roman"/>
      <family val="1"/>
    </font>
    <font>
      <i/>
      <sz val="10"/>
      <color indexed="8"/>
      <name val="Times New Roman"/>
      <family val="1"/>
    </font>
    <font>
      <b/>
      <i/>
      <sz val="10"/>
      <color theme="1"/>
      <name val="Times New Roman"/>
      <family val="1"/>
    </font>
    <font>
      <sz val="10"/>
      <color theme="1" tint="4.9989318521683403E-2"/>
      <name val="Times New Roman"/>
      <family val="1"/>
    </font>
    <font>
      <sz val="11"/>
      <color theme="1"/>
      <name val="Times New Roman"/>
      <family val="1"/>
    </font>
    <font>
      <sz val="9"/>
      <color theme="1"/>
      <name val="Times New Roman"/>
      <family val="1"/>
    </font>
    <font>
      <sz val="10"/>
      <color rgb="FF1D1D1C"/>
      <name val="Segoe UI"/>
      <family val="2"/>
    </font>
    <font>
      <sz val="10"/>
      <color theme="1"/>
      <name val="Calibri"/>
      <family val="2"/>
      <scheme val="minor"/>
    </font>
    <font>
      <sz val="10"/>
      <color rgb="FFFF0000"/>
      <name val="Times New Roman"/>
      <family val="1"/>
    </font>
    <font>
      <b/>
      <sz val="9"/>
      <color indexed="81"/>
      <name val="Tahoma"/>
      <family val="2"/>
    </font>
    <font>
      <sz val="9"/>
      <color indexed="81"/>
      <name val="Tahoma"/>
      <family val="2"/>
    </font>
    <font>
      <sz val="20"/>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7"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bottom/>
      <diagonal/>
    </border>
    <border>
      <left style="thin">
        <color indexed="64"/>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right/>
      <top style="thin">
        <color theme="1"/>
      </top>
      <bottom style="thin">
        <color indexed="64"/>
      </bottom>
      <diagonal/>
    </border>
    <border>
      <left/>
      <right/>
      <top style="thin">
        <color theme="1"/>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right style="thin">
        <color auto="1"/>
      </right>
      <top style="thin">
        <color theme="0" tint="-0.24994659260841701"/>
      </top>
      <bottom/>
      <diagonal/>
    </border>
    <border>
      <left/>
      <right style="thin">
        <color indexed="64"/>
      </right>
      <top/>
      <bottom/>
      <diagonal/>
    </border>
    <border>
      <left style="thin">
        <color auto="1"/>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style="thin">
        <color auto="1"/>
      </left>
      <right style="thin">
        <color auto="1"/>
      </right>
      <top style="thin">
        <color theme="0" tint="-0.24994659260841701"/>
      </top>
      <bottom/>
      <diagonal/>
    </border>
    <border>
      <left/>
      <right style="thin">
        <color theme="0" tint="-0.24994659260841701"/>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indexed="64"/>
      </left>
      <right/>
      <top/>
      <bottom/>
      <diagonal/>
    </border>
    <border>
      <left style="thin">
        <color theme="1"/>
      </left>
      <right/>
      <top/>
      <bottom/>
      <diagonal/>
    </border>
    <border>
      <left style="thin">
        <color indexed="64"/>
      </left>
      <right style="thin">
        <color indexed="64"/>
      </right>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right style="thin">
        <color theme="1"/>
      </right>
      <top/>
      <bottom style="thin">
        <color theme="1"/>
      </bottom>
      <diagonal/>
    </border>
    <border>
      <left style="thin">
        <color indexed="64"/>
      </left>
      <right/>
      <top/>
      <bottom style="thin">
        <color theme="0" tint="-0.249977111117893"/>
      </bottom>
      <diagonal/>
    </border>
    <border>
      <left style="thin">
        <color theme="0" tint="-0.249977111117893"/>
      </left>
      <right/>
      <top style="thin">
        <color indexed="64"/>
      </top>
      <bottom style="thin">
        <color theme="0" tint="-0.249977111117893"/>
      </bottom>
      <diagonal/>
    </border>
    <border>
      <left/>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indexed="64"/>
      </bottom>
      <diagonal/>
    </border>
    <border>
      <left style="thin">
        <color theme="0" tint="-0.249977111117893"/>
      </left>
      <right/>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666">
    <xf numFmtId="0" fontId="0" fillId="0" borderId="0" xfId="0"/>
    <xf numFmtId="0" fontId="3" fillId="0" borderId="0" xfId="0" applyFont="1" applyAlignment="1">
      <alignment vertical="top" wrapText="1"/>
    </xf>
    <xf numFmtId="0" fontId="3" fillId="0" borderId="0" xfId="0" applyFont="1" applyAlignment="1">
      <alignment horizontal="center"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0" xfId="0" applyFont="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5"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left" vertical="top" wrapText="1"/>
    </xf>
    <xf numFmtId="0" fontId="4" fillId="0" borderId="0" xfId="0" applyFont="1" applyAlignment="1">
      <alignment vertical="top" wrapText="1"/>
    </xf>
    <xf numFmtId="0" fontId="5" fillId="0" borderId="3" xfId="0" applyFont="1" applyBorder="1" applyAlignment="1">
      <alignment vertical="top" wrapText="1"/>
    </xf>
    <xf numFmtId="0" fontId="6" fillId="0" borderId="0" xfId="0" applyFont="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4" fillId="0" borderId="3" xfId="0" applyFont="1" applyBorder="1" applyAlignment="1">
      <alignment horizontal="left" vertical="top" wrapText="1"/>
    </xf>
    <xf numFmtId="0" fontId="5" fillId="0" borderId="0" xfId="0" applyFont="1" applyAlignment="1">
      <alignment horizontal="center" vertical="top" wrapText="1"/>
    </xf>
    <xf numFmtId="0" fontId="4" fillId="0" borderId="10" xfId="0" applyFont="1" applyBorder="1" applyAlignment="1">
      <alignment horizontal="center" vertical="top" wrapText="1"/>
    </xf>
    <xf numFmtId="0" fontId="9" fillId="0" borderId="0" xfId="0" applyFont="1" applyAlignment="1">
      <alignment vertical="top" wrapText="1"/>
    </xf>
    <xf numFmtId="0" fontId="3" fillId="0" borderId="6" xfId="0" applyFont="1" applyBorder="1" applyAlignment="1">
      <alignment horizontal="center" vertical="top" wrapText="1"/>
    </xf>
    <xf numFmtId="0" fontId="3" fillId="0" borderId="1" xfId="0" applyFont="1" applyBorder="1" applyAlignment="1">
      <alignment horizontal="center" vertical="top" wrapText="1"/>
    </xf>
    <xf numFmtId="0" fontId="10" fillId="0" borderId="1" xfId="0" applyFont="1" applyBorder="1" applyAlignment="1">
      <alignment horizontal="center" vertical="top" wrapText="1"/>
    </xf>
    <xf numFmtId="0" fontId="4" fillId="0" borderId="11" xfId="0" applyFont="1" applyBorder="1" applyAlignment="1">
      <alignment horizontal="center" vertical="top" wrapText="1"/>
    </xf>
    <xf numFmtId="0" fontId="5" fillId="0" borderId="1" xfId="0" applyFont="1" applyBorder="1" applyAlignment="1">
      <alignment horizontal="left" vertical="top" wrapText="1"/>
    </xf>
    <xf numFmtId="0" fontId="4" fillId="0" borderId="12" xfId="0" applyFont="1" applyBorder="1" applyAlignment="1">
      <alignment horizontal="center" vertical="top" wrapText="1"/>
    </xf>
    <xf numFmtId="0" fontId="4" fillId="0" borderId="16" xfId="0" applyFont="1" applyBorder="1" applyAlignment="1">
      <alignment horizontal="center" vertical="top" wrapText="1"/>
    </xf>
    <xf numFmtId="0" fontId="5" fillId="0" borderId="6" xfId="0" applyFont="1" applyBorder="1" applyAlignment="1">
      <alignment vertical="top" wrapText="1"/>
    </xf>
    <xf numFmtId="2" fontId="5" fillId="0" borderId="0" xfId="0" applyNumberFormat="1" applyFont="1" applyAlignment="1">
      <alignment horizontal="right" vertical="top" wrapText="1"/>
    </xf>
    <xf numFmtId="0" fontId="3" fillId="0" borderId="19" xfId="0" applyFont="1" applyBorder="1" applyAlignment="1">
      <alignment vertical="top" wrapText="1"/>
    </xf>
    <xf numFmtId="0" fontId="4" fillId="0" borderId="20" xfId="0" applyFont="1" applyBorder="1" applyAlignment="1">
      <alignment horizontal="center" vertical="top" wrapText="1"/>
    </xf>
    <xf numFmtId="0" fontId="3" fillId="0" borderId="0" xfId="0" applyFont="1" applyAlignment="1">
      <alignment horizontal="justify" vertical="top" wrapText="1"/>
    </xf>
    <xf numFmtId="0" fontId="3" fillId="0" borderId="0" xfId="0" applyFont="1" applyAlignment="1">
      <alignment horizontal="right" vertical="top" wrapText="1"/>
    </xf>
    <xf numFmtId="2" fontId="5" fillId="0" borderId="5" xfId="0" applyNumberFormat="1" applyFont="1" applyBorder="1" applyAlignment="1">
      <alignment horizontal="right" vertical="top" wrapText="1"/>
    </xf>
    <xf numFmtId="0" fontId="4" fillId="0" borderId="21" xfId="0" applyFont="1" applyBorder="1" applyAlignment="1">
      <alignment horizontal="center" vertical="top" wrapText="1"/>
    </xf>
    <xf numFmtId="0" fontId="6" fillId="0" borderId="22" xfId="0" applyFont="1" applyBorder="1" applyAlignment="1">
      <alignment vertical="top" wrapText="1"/>
    </xf>
    <xf numFmtId="0" fontId="6" fillId="0" borderId="20" xfId="0" applyFont="1" applyBorder="1" applyAlignment="1">
      <alignment vertical="top" wrapText="1"/>
    </xf>
    <xf numFmtId="15" fontId="4" fillId="0" borderId="0" xfId="0" applyNumberFormat="1" applyFont="1" applyAlignment="1">
      <alignment vertical="top" wrapText="1"/>
    </xf>
    <xf numFmtId="15" fontId="4" fillId="0" borderId="0" xfId="0" applyNumberFormat="1" applyFont="1" applyAlignment="1">
      <alignment horizontal="left" vertical="top" wrapText="1"/>
    </xf>
    <xf numFmtId="2" fontId="6" fillId="0" borderId="1" xfId="0" applyNumberFormat="1" applyFont="1" applyBorder="1" applyAlignment="1">
      <alignment horizontal="right" vertical="top" wrapText="1"/>
    </xf>
    <xf numFmtId="2" fontId="6" fillId="0" borderId="3" xfId="0" applyNumberFormat="1" applyFont="1" applyBorder="1" applyAlignment="1">
      <alignment horizontal="right" vertical="top" wrapText="1"/>
    </xf>
    <xf numFmtId="4" fontId="11" fillId="0" borderId="1" xfId="0" applyNumberFormat="1" applyFont="1" applyBorder="1"/>
    <xf numFmtId="0" fontId="5" fillId="0" borderId="1" xfId="0" applyFont="1" applyBorder="1"/>
    <xf numFmtId="0" fontId="6" fillId="0" borderId="23" xfId="0" applyFont="1" applyBorder="1" applyAlignment="1">
      <alignment vertical="top" wrapText="1"/>
    </xf>
    <xf numFmtId="0" fontId="12" fillId="0" borderId="1" xfId="0" applyFont="1" applyBorder="1" applyAlignment="1">
      <alignment horizontal="center" vertical="top" wrapText="1"/>
    </xf>
    <xf numFmtId="0" fontId="0" fillId="0" borderId="1" xfId="0" applyBorder="1" applyAlignment="1">
      <alignment horizontal="center"/>
    </xf>
    <xf numFmtId="0" fontId="6" fillId="0" borderId="1" xfId="0" applyFont="1" applyBorder="1" applyAlignment="1">
      <alignment horizontal="center" vertical="center" wrapText="1"/>
    </xf>
    <xf numFmtId="0" fontId="6" fillId="0" borderId="0" xfId="0" applyFont="1" applyAlignment="1">
      <alignment vertical="top" wrapText="1"/>
    </xf>
    <xf numFmtId="2" fontId="5" fillId="0" borderId="1" xfId="0" applyNumberFormat="1" applyFont="1" applyBorder="1" applyAlignment="1">
      <alignment horizontal="center" vertical="top" wrapText="1"/>
    </xf>
    <xf numFmtId="2" fontId="6" fillId="0" borderId="1" xfId="0" applyNumberFormat="1" applyFont="1" applyBorder="1" applyAlignment="1">
      <alignment horizontal="center" vertical="center" wrapText="1"/>
    </xf>
    <xf numFmtId="10" fontId="6" fillId="0" borderId="1" xfId="1" applyNumberFormat="1" applyFont="1" applyFill="1" applyBorder="1" applyAlignment="1">
      <alignment horizontal="center" vertical="center" wrapText="1"/>
    </xf>
    <xf numFmtId="0" fontId="6" fillId="0" borderId="24" xfId="0" applyFont="1" applyBorder="1" applyAlignment="1">
      <alignment vertical="top" wrapText="1"/>
    </xf>
    <xf numFmtId="0" fontId="12" fillId="0" borderId="3" xfId="0" applyFont="1" applyBorder="1" applyAlignment="1">
      <alignment horizontal="center" vertical="top" wrapText="1"/>
    </xf>
    <xf numFmtId="165" fontId="6" fillId="0" borderId="1" xfId="0" applyNumberFormat="1" applyFont="1" applyBorder="1" applyAlignment="1">
      <alignment horizontal="center" vertical="center" wrapText="1"/>
    </xf>
    <xf numFmtId="0" fontId="12" fillId="0" borderId="11" xfId="0" applyFont="1" applyBorder="1" applyAlignment="1">
      <alignment horizontal="center" vertical="top" wrapText="1"/>
    </xf>
    <xf numFmtId="0" fontId="3" fillId="0" borderId="1" xfId="0" applyFont="1" applyBorder="1" applyAlignment="1">
      <alignment vertical="top" wrapText="1"/>
    </xf>
    <xf numFmtId="0" fontId="5" fillId="0" borderId="17" xfId="0" applyFont="1" applyBorder="1" applyAlignment="1">
      <alignment horizontal="left" vertical="top" wrapText="1"/>
    </xf>
    <xf numFmtId="0" fontId="5" fillId="0" borderId="0" xfId="0" applyFont="1"/>
    <xf numFmtId="2" fontId="6" fillId="0" borderId="3" xfId="0" applyNumberFormat="1" applyFont="1" applyBorder="1" applyAlignment="1">
      <alignment horizontal="right" wrapText="1"/>
    </xf>
    <xf numFmtId="0" fontId="5" fillId="0" borderId="1" xfId="0" applyFont="1" applyBorder="1" applyAlignment="1">
      <alignment horizontal="center"/>
    </xf>
    <xf numFmtId="0" fontId="6" fillId="0" borderId="1" xfId="0" applyFont="1" applyBorder="1" applyAlignment="1">
      <alignment vertical="center" wrapText="1"/>
    </xf>
    <xf numFmtId="0" fontId="6" fillId="0" borderId="1" xfId="0" quotePrefix="1" applyFont="1" applyBorder="1" applyAlignment="1">
      <alignment horizontal="center" vertical="center" wrapText="1"/>
    </xf>
    <xf numFmtId="0" fontId="5" fillId="0" borderId="1" xfId="0" quotePrefix="1" applyFont="1" applyBorder="1" applyAlignment="1">
      <alignment horizontal="center"/>
    </xf>
    <xf numFmtId="0" fontId="5" fillId="0" borderId="5" xfId="0" applyFont="1" applyBorder="1" applyAlignment="1">
      <alignment vertical="top" wrapText="1"/>
    </xf>
    <xf numFmtId="2" fontId="6" fillId="0" borderId="1" xfId="0" applyNumberFormat="1" applyFont="1" applyBorder="1" applyAlignment="1">
      <alignment vertical="center" wrapText="1"/>
    </xf>
    <xf numFmtId="10" fontId="6" fillId="0" borderId="1" xfId="1" applyNumberFormat="1" applyFont="1" applyFill="1" applyBorder="1" applyAlignment="1">
      <alignment vertical="center" wrapText="1"/>
    </xf>
    <xf numFmtId="4" fontId="11" fillId="0" borderId="1" xfId="0" applyNumberFormat="1" applyFont="1" applyBorder="1" applyAlignment="1">
      <alignment horizontal="right"/>
    </xf>
    <xf numFmtId="2" fontId="6" fillId="0" borderId="1" xfId="0" applyNumberFormat="1" applyFont="1" applyBorder="1" applyAlignment="1">
      <alignment horizontal="right" wrapText="1"/>
    </xf>
    <xf numFmtId="0" fontId="0" fillId="0" borderId="1" xfId="0" applyBorder="1" applyAlignment="1">
      <alignment horizontal="right"/>
    </xf>
    <xf numFmtId="0" fontId="5" fillId="0" borderId="1" xfId="0" applyFont="1" applyBorder="1" applyAlignment="1">
      <alignment horizontal="right"/>
    </xf>
    <xf numFmtId="2" fontId="5" fillId="0" borderId="1" xfId="0" quotePrefix="1" applyNumberFormat="1" applyFont="1" applyBorder="1" applyAlignment="1">
      <alignment horizontal="center" vertical="top" wrapText="1"/>
    </xf>
    <xf numFmtId="2" fontId="5" fillId="0" borderId="1" xfId="0" applyNumberFormat="1" applyFont="1" applyBorder="1" applyAlignment="1">
      <alignment horizontal="center"/>
    </xf>
    <xf numFmtId="0" fontId="5" fillId="0" borderId="1" xfId="0" applyFont="1" applyBorder="1" applyAlignment="1">
      <alignment horizontal="center" vertical="top" wrapText="1"/>
    </xf>
    <xf numFmtId="0" fontId="4" fillId="0" borderId="1" xfId="0" applyFont="1" applyBorder="1" applyAlignment="1">
      <alignment vertical="center" wrapText="1"/>
    </xf>
    <xf numFmtId="10" fontId="4" fillId="0" borderId="1" xfId="0" applyNumberFormat="1" applyFont="1" applyBorder="1" applyAlignment="1">
      <alignment vertical="center" wrapText="1"/>
    </xf>
    <xf numFmtId="0" fontId="4" fillId="0" borderId="0" xfId="0" applyFont="1" applyAlignment="1">
      <alignment horizontal="left" vertical="top" wrapText="1" indent="1"/>
    </xf>
    <xf numFmtId="0" fontId="5" fillId="2" borderId="1" xfId="0" applyFont="1" applyFill="1" applyBorder="1" applyAlignment="1">
      <alignment horizontal="center"/>
    </xf>
    <xf numFmtId="2" fontId="5" fillId="2" borderId="1" xfId="0" applyNumberFormat="1" applyFont="1" applyFill="1" applyBorder="1" applyAlignment="1">
      <alignment horizontal="center" vertical="top" wrapText="1"/>
    </xf>
    <xf numFmtId="0" fontId="5" fillId="2" borderId="1" xfId="0" quotePrefix="1" applyFont="1" applyFill="1" applyBorder="1" applyAlignment="1">
      <alignment horizontal="center"/>
    </xf>
    <xf numFmtId="0" fontId="6" fillId="0" borderId="17" xfId="0" applyFont="1" applyBorder="1" applyAlignment="1">
      <alignment horizontal="left" vertical="top" wrapText="1"/>
    </xf>
    <xf numFmtId="0" fontId="6" fillId="0" borderId="6" xfId="0" applyFont="1" applyBorder="1" applyAlignment="1">
      <alignment vertical="top" wrapText="1"/>
    </xf>
    <xf numFmtId="2" fontId="6" fillId="0" borderId="1" xfId="0" applyNumberFormat="1" applyFont="1" applyBorder="1" applyAlignment="1">
      <alignment horizontal="right" vertical="center" wrapText="1"/>
    </xf>
    <xf numFmtId="2" fontId="6" fillId="0" borderId="1" xfId="0" quotePrefix="1" applyNumberFormat="1" applyFont="1" applyBorder="1" applyAlignment="1">
      <alignment horizontal="right" vertical="center" wrapText="1"/>
    </xf>
    <xf numFmtId="2" fontId="6" fillId="0" borderId="3" xfId="0" applyNumberFormat="1" applyFont="1" applyBorder="1" applyAlignment="1">
      <alignment horizontal="center" vertical="center" wrapText="1"/>
    </xf>
    <xf numFmtId="2" fontId="5" fillId="0" borderId="1" xfId="0" quotePrefix="1" applyNumberFormat="1" applyFont="1" applyBorder="1" applyAlignment="1">
      <alignment horizontal="center"/>
    </xf>
    <xf numFmtId="10" fontId="6" fillId="0" borderId="1" xfId="0" applyNumberFormat="1" applyFont="1" applyBorder="1" applyAlignment="1">
      <alignment vertical="center" wrapText="1"/>
    </xf>
    <xf numFmtId="10" fontId="5" fillId="0" borderId="1" xfId="1" quotePrefix="1" applyNumberFormat="1" applyFont="1" applyFill="1" applyBorder="1" applyAlignment="1">
      <alignment horizontal="center" vertical="top" wrapText="1"/>
    </xf>
    <xf numFmtId="9" fontId="5" fillId="0" borderId="1" xfId="1" quotePrefix="1" applyFont="1" applyFill="1" applyBorder="1" applyAlignment="1">
      <alignment horizontal="center" vertical="top" wrapText="1"/>
    </xf>
    <xf numFmtId="9" fontId="6" fillId="0" borderId="1" xfId="1" applyFont="1" applyFill="1" applyBorder="1" applyAlignment="1">
      <alignment vertical="center" wrapText="1"/>
    </xf>
    <xf numFmtId="10" fontId="5" fillId="0" borderId="1" xfId="1" applyNumberFormat="1" applyFont="1" applyFill="1" applyBorder="1" applyAlignment="1">
      <alignment horizontal="center"/>
    </xf>
    <xf numFmtId="0" fontId="6" fillId="0" borderId="1" xfId="0" applyFont="1" applyBorder="1" applyAlignment="1">
      <alignment horizontal="right" vertical="top" wrapText="1"/>
    </xf>
    <xf numFmtId="10" fontId="5" fillId="0" borderId="1" xfId="0" applyNumberFormat="1" applyFont="1" applyBorder="1" applyAlignment="1">
      <alignment horizontal="center"/>
    </xf>
    <xf numFmtId="0" fontId="0" fillId="0" borderId="0" xfId="0" applyAlignment="1">
      <alignment horizontal="center"/>
    </xf>
    <xf numFmtId="0" fontId="6" fillId="0" borderId="20" xfId="0" applyFont="1" applyBorder="1" applyAlignment="1">
      <alignment horizontal="center" vertical="top" wrapText="1"/>
    </xf>
    <xf numFmtId="2" fontId="6" fillId="0" borderId="3"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0" fontId="6" fillId="0" borderId="23" xfId="0" applyFont="1" applyBorder="1" applyAlignment="1">
      <alignment horizontal="center" vertical="top" wrapText="1"/>
    </xf>
    <xf numFmtId="0" fontId="6" fillId="0" borderId="1" xfId="0" quotePrefix="1" applyFont="1" applyBorder="1" applyAlignment="1">
      <alignment horizontal="right" vertical="center" wrapText="1"/>
    </xf>
    <xf numFmtId="0" fontId="5" fillId="0" borderId="5" xfId="0" applyFont="1" applyBorder="1" applyAlignment="1">
      <alignment horizontal="center" vertical="top" wrapText="1"/>
    </xf>
    <xf numFmtId="0" fontId="18" fillId="0" borderId="0" xfId="0" applyFont="1"/>
    <xf numFmtId="15" fontId="4" fillId="0" borderId="0" xfId="0" applyNumberFormat="1" applyFont="1" applyAlignment="1">
      <alignment horizontal="center" vertical="top" wrapText="1"/>
    </xf>
    <xf numFmtId="15" fontId="5" fillId="0" borderId="0" xfId="0" applyNumberFormat="1" applyFont="1" applyAlignment="1">
      <alignment vertical="top" wrapText="1"/>
    </xf>
    <xf numFmtId="2" fontId="6" fillId="0" borderId="3" xfId="0" quotePrefix="1" applyNumberFormat="1" applyFont="1" applyBorder="1" applyAlignment="1">
      <alignment horizontal="right" vertical="top" wrapText="1"/>
    </xf>
    <xf numFmtId="0" fontId="10" fillId="0" borderId="1" xfId="0" quotePrefix="1" applyFont="1" applyBorder="1" applyAlignment="1">
      <alignment horizontal="center" vertical="center" wrapText="1"/>
    </xf>
    <xf numFmtId="0" fontId="3" fillId="0" borderId="1" xfId="0" quotePrefix="1" applyFont="1" applyBorder="1" applyAlignment="1">
      <alignment horizontal="center" vertical="center" wrapText="1"/>
    </xf>
    <xf numFmtId="2" fontId="6" fillId="0" borderId="1" xfId="0" quotePrefix="1" applyNumberFormat="1" applyFont="1" applyBorder="1" applyAlignment="1">
      <alignment horizontal="right" vertical="top" wrapText="1"/>
    </xf>
    <xf numFmtId="0" fontId="17" fillId="0" borderId="1" xfId="0" applyFont="1" applyBorder="1" applyAlignment="1">
      <alignment horizontal="center" vertical="top" wrapText="1"/>
    </xf>
    <xf numFmtId="4" fontId="6" fillId="0" borderId="1" xfId="0" applyNumberFormat="1" applyFont="1" applyBorder="1" applyAlignment="1">
      <alignment horizontal="center" vertical="top" wrapText="1"/>
    </xf>
    <xf numFmtId="0" fontId="3" fillId="0" borderId="1" xfId="0" quotePrefix="1" applyFont="1" applyBorder="1" applyAlignment="1">
      <alignment horizontal="center" vertical="top" wrapText="1"/>
    </xf>
    <xf numFmtId="0" fontId="5" fillId="0" borderId="1" xfId="0" applyFont="1" applyBorder="1" applyAlignment="1">
      <alignment vertical="top"/>
    </xf>
    <xf numFmtId="4" fontId="6" fillId="0" borderId="1" xfId="0" applyNumberFormat="1" applyFont="1" applyBorder="1" applyAlignment="1">
      <alignment horizontal="left" vertical="top" wrapText="1"/>
    </xf>
    <xf numFmtId="0" fontId="10" fillId="0" borderId="1" xfId="0" applyFont="1" applyBorder="1" applyAlignment="1">
      <alignment horizontal="center" vertical="center" wrapText="1"/>
    </xf>
    <xf numFmtId="14" fontId="4" fillId="0" borderId="0" xfId="0" applyNumberFormat="1" applyFont="1" applyAlignment="1">
      <alignment horizontal="left" vertical="top" wrapText="1"/>
    </xf>
    <xf numFmtId="4" fontId="6" fillId="0" borderId="1" xfId="0" applyNumberFormat="1" applyFont="1" applyBorder="1" applyAlignment="1">
      <alignment horizontal="right" vertical="top" wrapText="1"/>
    </xf>
    <xf numFmtId="2" fontId="6" fillId="0" borderId="1" xfId="0" applyNumberFormat="1" applyFont="1" applyBorder="1" applyAlignment="1">
      <alignment vertical="top" wrapText="1"/>
    </xf>
    <xf numFmtId="10" fontId="5" fillId="0" borderId="1" xfId="0" applyNumberFormat="1" applyFont="1" applyBorder="1" applyAlignment="1">
      <alignment vertical="top" wrapText="1"/>
    </xf>
    <xf numFmtId="10" fontId="6" fillId="0" borderId="1" xfId="0" applyNumberFormat="1" applyFont="1" applyBorder="1" applyAlignment="1">
      <alignment vertical="top" wrapText="1"/>
    </xf>
    <xf numFmtId="0" fontId="18" fillId="0" borderId="1" xfId="0" applyFont="1" applyBorder="1" applyAlignment="1">
      <alignment horizontal="center" vertical="center"/>
    </xf>
    <xf numFmtId="2" fontId="5" fillId="0" borderId="1" xfId="0" quotePrefix="1" applyNumberFormat="1" applyFont="1" applyBorder="1" applyAlignment="1">
      <alignment horizontal="right" vertical="top" wrapText="1"/>
    </xf>
    <xf numFmtId="165" fontId="6" fillId="0" borderId="1" xfId="0" applyNumberFormat="1" applyFont="1" applyBorder="1" applyAlignment="1">
      <alignment horizontal="right" vertical="top" wrapText="1"/>
    </xf>
    <xf numFmtId="165" fontId="6" fillId="0" borderId="1" xfId="0" applyNumberFormat="1" applyFont="1" applyBorder="1" applyAlignment="1">
      <alignment vertical="top" wrapText="1"/>
    </xf>
    <xf numFmtId="2" fontId="3" fillId="0" borderId="1" xfId="0" quotePrefix="1" applyNumberFormat="1" applyFont="1" applyBorder="1" applyAlignment="1">
      <alignment horizontal="center" vertical="top" wrapText="1"/>
    </xf>
    <xf numFmtId="2" fontId="3" fillId="0" borderId="1" xfId="0" quotePrefix="1" applyNumberFormat="1" applyFont="1" applyBorder="1" applyAlignment="1">
      <alignment horizontal="right" vertical="top" wrapText="1"/>
    </xf>
    <xf numFmtId="0" fontId="4" fillId="0" borderId="1" xfId="0" applyFont="1" applyBorder="1" applyAlignment="1">
      <alignment horizontal="center" vertical="center" wrapText="1"/>
    </xf>
    <xf numFmtId="2" fontId="4" fillId="0" borderId="1" xfId="0" applyNumberFormat="1" applyFont="1" applyBorder="1" applyAlignment="1">
      <alignment vertical="center" wrapText="1"/>
    </xf>
    <xf numFmtId="2" fontId="3" fillId="0" borderId="1" xfId="0" quotePrefix="1" applyNumberFormat="1" applyFont="1" applyBorder="1" applyAlignment="1">
      <alignment vertical="top" wrapText="1"/>
    </xf>
    <xf numFmtId="2" fontId="4" fillId="0" borderId="1" xfId="0" applyNumberFormat="1" applyFont="1" applyBorder="1" applyAlignment="1">
      <alignment horizontal="center" vertical="center" wrapText="1"/>
    </xf>
    <xf numFmtId="2" fontId="5" fillId="0" borderId="1" xfId="1" quotePrefix="1" applyNumberFormat="1" applyFont="1" applyFill="1" applyBorder="1" applyAlignment="1">
      <alignment horizontal="center" vertical="top" wrapText="1"/>
    </xf>
    <xf numFmtId="2" fontId="4" fillId="0" borderId="1" xfId="0" applyNumberFormat="1" applyFont="1" applyBorder="1" applyAlignment="1">
      <alignment horizontal="center" vertical="top" wrapText="1"/>
    </xf>
    <xf numFmtId="0" fontId="5" fillId="0" borderId="8" xfId="0" applyFont="1" applyBorder="1" applyAlignment="1">
      <alignment horizontal="center"/>
    </xf>
    <xf numFmtId="2" fontId="5" fillId="0" borderId="8" xfId="0" quotePrefix="1" applyNumberFormat="1" applyFont="1" applyBorder="1" applyAlignment="1">
      <alignment horizontal="center" vertical="top" wrapText="1"/>
    </xf>
    <xf numFmtId="2" fontId="5" fillId="0" borderId="8" xfId="0" applyNumberFormat="1" applyFont="1" applyBorder="1" applyAlignment="1">
      <alignment horizontal="center"/>
    </xf>
    <xf numFmtId="2" fontId="5" fillId="0" borderId="8" xfId="1" quotePrefix="1" applyNumberFormat="1" applyFont="1" applyFill="1" applyBorder="1" applyAlignment="1">
      <alignment horizontal="center" vertical="top" wrapText="1"/>
    </xf>
    <xf numFmtId="2" fontId="3" fillId="0" borderId="8" xfId="0" quotePrefix="1" applyNumberFormat="1" applyFont="1" applyBorder="1" applyAlignment="1">
      <alignment horizontal="center" vertical="top" wrapText="1"/>
    </xf>
    <xf numFmtId="166" fontId="5" fillId="0" borderId="0" xfId="0" applyNumberFormat="1" applyFont="1" applyAlignment="1">
      <alignment horizontal="center" vertical="top" wrapText="1"/>
    </xf>
    <xf numFmtId="2" fontId="3" fillId="0" borderId="1" xfId="0" applyNumberFormat="1" applyFont="1" applyBorder="1" applyAlignment="1">
      <alignment horizontal="center" vertical="top" wrapText="1"/>
    </xf>
    <xf numFmtId="10" fontId="5" fillId="0" borderId="8" xfId="1" applyNumberFormat="1" applyFont="1" applyFill="1" applyBorder="1" applyAlignment="1">
      <alignment horizontal="center"/>
    </xf>
    <xf numFmtId="2" fontId="5" fillId="0" borderId="8" xfId="1" applyNumberFormat="1" applyFont="1" applyFill="1" applyBorder="1" applyAlignment="1">
      <alignment horizontal="center" vertical="top" wrapText="1"/>
    </xf>
    <xf numFmtId="2" fontId="5" fillId="0" borderId="0" xfId="0" applyNumberFormat="1" applyFont="1" applyAlignment="1">
      <alignment horizontal="center" vertical="top" wrapText="1"/>
    </xf>
    <xf numFmtId="2" fontId="6" fillId="0" borderId="1" xfId="1" applyNumberFormat="1" applyFont="1" applyFill="1" applyBorder="1" applyAlignment="1">
      <alignment horizontal="center" vertical="center" wrapText="1"/>
    </xf>
    <xf numFmtId="2" fontId="6" fillId="0" borderId="1" xfId="0" quotePrefix="1" applyNumberFormat="1" applyFont="1" applyBorder="1" applyAlignment="1">
      <alignment horizontal="center" vertical="center" wrapText="1"/>
    </xf>
    <xf numFmtId="2" fontId="6" fillId="0" borderId="1" xfId="1" applyNumberFormat="1" applyFont="1" applyFill="1" applyBorder="1" applyAlignment="1">
      <alignment vertical="center" wrapText="1"/>
    </xf>
    <xf numFmtId="0" fontId="19" fillId="0" borderId="0" xfId="0" applyFont="1"/>
    <xf numFmtId="9" fontId="6" fillId="0" borderId="1" xfId="1" applyFont="1" applyFill="1" applyBorder="1" applyAlignment="1">
      <alignment horizontal="center" vertical="center" wrapText="1"/>
    </xf>
    <xf numFmtId="167" fontId="6" fillId="0" borderId="1" xfId="1"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2" fontId="5" fillId="0" borderId="1" xfId="0" quotePrefix="1"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6" fillId="0" borderId="3" xfId="0" applyFont="1" applyBorder="1" applyAlignment="1">
      <alignment horizontal="center" vertical="top" wrapText="1"/>
    </xf>
    <xf numFmtId="10" fontId="5" fillId="0" borderId="1" xfId="0" applyNumberFormat="1" applyFont="1" applyBorder="1" applyAlignment="1">
      <alignment horizontal="center" vertical="top" wrapText="1"/>
    </xf>
    <xf numFmtId="4" fontId="11" fillId="0" borderId="1" xfId="0" applyNumberFormat="1" applyFont="1" applyBorder="1" applyAlignment="1">
      <alignment horizontal="center"/>
    </xf>
    <xf numFmtId="0" fontId="19" fillId="0" borderId="0" xfId="0" applyFont="1" applyAlignment="1">
      <alignment vertical="top"/>
    </xf>
    <xf numFmtId="2" fontId="5" fillId="0" borderId="8" xfId="0" applyNumberFormat="1" applyFont="1" applyBorder="1" applyAlignment="1">
      <alignment horizontal="center" vertical="top" wrapText="1"/>
    </xf>
    <xf numFmtId="0" fontId="17" fillId="0" borderId="1" xfId="0" applyFont="1" applyBorder="1" applyAlignment="1">
      <alignment horizontal="center" vertical="center" wrapText="1"/>
    </xf>
    <xf numFmtId="0" fontId="6" fillId="0" borderId="11" xfId="0" applyFont="1" applyBorder="1" applyAlignment="1">
      <alignment horizontal="center" vertical="top" wrapText="1"/>
    </xf>
    <xf numFmtId="0" fontId="6" fillId="0" borderId="18" xfId="0" applyFont="1" applyBorder="1" applyAlignment="1">
      <alignment horizontal="center" vertical="top" wrapText="1"/>
    </xf>
    <xf numFmtId="0" fontId="6" fillId="0" borderId="18" xfId="0" applyFont="1" applyBorder="1" applyAlignment="1">
      <alignment horizontal="center" vertical="center" wrapText="1"/>
    </xf>
    <xf numFmtId="164" fontId="6" fillId="0" borderId="1" xfId="2" applyFont="1" applyFill="1" applyBorder="1" applyAlignment="1">
      <alignment horizontal="center" vertical="top" wrapText="1"/>
    </xf>
    <xf numFmtId="0" fontId="6" fillId="0" borderId="18" xfId="0" applyFont="1" applyBorder="1" applyAlignment="1">
      <alignment vertical="center" wrapText="1"/>
    </xf>
    <xf numFmtId="164" fontId="3" fillId="0" borderId="0" xfId="2" applyFont="1" applyFill="1" applyBorder="1" applyAlignment="1">
      <alignment vertical="top" wrapText="1"/>
    </xf>
    <xf numFmtId="164" fontId="5" fillId="0" borderId="0" xfId="2" applyFont="1" applyFill="1" applyAlignment="1">
      <alignment vertical="top" wrapText="1"/>
    </xf>
    <xf numFmtId="164" fontId="6" fillId="0" borderId="0" xfId="2" applyFont="1" applyFill="1" applyBorder="1" applyAlignment="1">
      <alignment horizontal="center" vertical="top" wrapText="1"/>
    </xf>
    <xf numFmtId="164" fontId="6" fillId="0" borderId="0" xfId="2" applyFont="1" applyFill="1" applyBorder="1" applyAlignment="1">
      <alignment horizontal="left" vertical="top" wrapText="1"/>
    </xf>
    <xf numFmtId="164" fontId="4" fillId="0" borderId="0" xfId="2" applyFont="1" applyFill="1" applyBorder="1" applyAlignment="1">
      <alignment horizontal="left" vertical="top" wrapText="1"/>
    </xf>
    <xf numFmtId="164" fontId="4" fillId="0" borderId="1" xfId="2" applyFont="1" applyFill="1" applyBorder="1" applyAlignment="1">
      <alignment horizontal="center" vertical="top" wrapText="1"/>
    </xf>
    <xf numFmtId="4" fontId="6" fillId="0" borderId="1" xfId="0" applyNumberFormat="1" applyFont="1" applyBorder="1" applyAlignment="1">
      <alignment vertical="top" wrapText="1"/>
    </xf>
    <xf numFmtId="164" fontId="5" fillId="0" borderId="0" xfId="2" applyFont="1" applyFill="1" applyBorder="1" applyAlignment="1">
      <alignment horizontal="center" vertical="top" wrapText="1"/>
    </xf>
    <xf numFmtId="164" fontId="10" fillId="0" borderId="1" xfId="2" applyFont="1" applyFill="1" applyBorder="1" applyAlignment="1">
      <alignment horizontal="center" vertical="top" wrapText="1"/>
    </xf>
    <xf numFmtId="164" fontId="6" fillId="0" borderId="20" xfId="2" applyFont="1" applyFill="1" applyBorder="1" applyAlignment="1">
      <alignment vertical="top" wrapText="1"/>
    </xf>
    <xf numFmtId="164" fontId="4" fillId="0" borderId="0" xfId="2" applyFont="1" applyFill="1" applyBorder="1" applyAlignment="1">
      <alignment vertical="top" wrapText="1"/>
    </xf>
    <xf numFmtId="164" fontId="6" fillId="0" borderId="23" xfId="2" applyFont="1" applyFill="1" applyBorder="1" applyAlignment="1">
      <alignment vertical="top" wrapText="1"/>
    </xf>
    <xf numFmtId="9" fontId="6" fillId="0" borderId="0" xfId="1" applyFont="1" applyFill="1" applyBorder="1" applyAlignment="1">
      <alignment vertical="top" wrapText="1"/>
    </xf>
    <xf numFmtId="2" fontId="6" fillId="0" borderId="0" xfId="0" applyNumberFormat="1" applyFont="1" applyAlignment="1">
      <alignment vertical="top" wrapText="1"/>
    </xf>
    <xf numFmtId="164" fontId="5" fillId="0" borderId="5" xfId="2" applyFont="1" applyFill="1" applyBorder="1" applyAlignment="1">
      <alignment vertical="top" wrapText="1"/>
    </xf>
    <xf numFmtId="0" fontId="5" fillId="5" borderId="0" xfId="0" applyFont="1" applyFill="1" applyAlignment="1">
      <alignment vertical="top" wrapText="1"/>
    </xf>
    <xf numFmtId="0" fontId="20" fillId="0" borderId="0" xfId="0" applyFont="1"/>
    <xf numFmtId="0" fontId="5" fillId="5" borderId="0" xfId="0" applyFont="1" applyFill="1"/>
    <xf numFmtId="0" fontId="3" fillId="5" borderId="0" xfId="0" applyFont="1" applyFill="1" applyAlignment="1">
      <alignment vertical="top" wrapText="1"/>
    </xf>
    <xf numFmtId="4" fontId="6" fillId="0" borderId="0" xfId="0" applyNumberFormat="1" applyFont="1" applyAlignment="1">
      <alignment vertical="top" wrapText="1"/>
    </xf>
    <xf numFmtId="164" fontId="5" fillId="0" borderId="1" xfId="2" applyFont="1" applyFill="1" applyBorder="1" applyAlignment="1">
      <alignment horizontal="center" vertical="top" wrapText="1"/>
    </xf>
    <xf numFmtId="0" fontId="4" fillId="0" borderId="33"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40" xfId="0" applyFont="1" applyBorder="1" applyAlignment="1">
      <alignment horizontal="center" vertical="top" wrapText="1"/>
    </xf>
    <xf numFmtId="0" fontId="3" fillId="0" borderId="41" xfId="0" applyFont="1" applyBorder="1" applyAlignment="1">
      <alignment vertical="top" wrapText="1"/>
    </xf>
    <xf numFmtId="0" fontId="4" fillId="0" borderId="42" xfId="0" applyFont="1" applyBorder="1" applyAlignment="1">
      <alignment horizontal="center" vertical="top" wrapText="1"/>
    </xf>
    <xf numFmtId="0" fontId="6" fillId="0" borderId="43" xfId="0" applyFont="1" applyBorder="1" applyAlignment="1">
      <alignment vertical="top" wrapText="1"/>
    </xf>
    <xf numFmtId="0" fontId="6" fillId="0" borderId="44" xfId="0" applyFont="1" applyBorder="1" applyAlignment="1">
      <alignment vertical="top" wrapText="1"/>
    </xf>
    <xf numFmtId="10" fontId="5" fillId="0" borderId="1" xfId="1" applyNumberFormat="1" applyFont="1" applyFill="1" applyBorder="1" applyAlignment="1">
      <alignment horizontal="center" vertical="top" wrapText="1"/>
    </xf>
    <xf numFmtId="10" fontId="3" fillId="0" borderId="1" xfId="1" quotePrefix="1" applyNumberFormat="1" applyFont="1" applyFill="1" applyBorder="1" applyAlignment="1">
      <alignment horizontal="center" vertical="top" wrapText="1"/>
    </xf>
    <xf numFmtId="0" fontId="4" fillId="2" borderId="0" xfId="0" applyFont="1" applyFill="1" applyAlignment="1">
      <alignment horizontal="left" vertical="top" wrapText="1"/>
    </xf>
    <xf numFmtId="164" fontId="0" fillId="0" borderId="0" xfId="2" applyFont="1"/>
    <xf numFmtId="0" fontId="5" fillId="0" borderId="0" xfId="0" applyFont="1" applyAlignment="1">
      <alignment horizontal="center"/>
    </xf>
    <xf numFmtId="0" fontId="16" fillId="0" borderId="0" xfId="0" applyFont="1" applyAlignment="1">
      <alignment horizontal="center" vertical="top" wrapText="1"/>
    </xf>
    <xf numFmtId="0" fontId="5" fillId="0" borderId="0" xfId="0" applyFont="1" applyAlignment="1">
      <alignment wrapText="1"/>
    </xf>
    <xf numFmtId="0" fontId="5" fillId="3" borderId="0" xfId="0" applyFont="1" applyFill="1" applyAlignment="1">
      <alignment wrapText="1"/>
    </xf>
    <xf numFmtId="0" fontId="12" fillId="0" borderId="1" xfId="0" applyFont="1" applyBorder="1" applyAlignment="1">
      <alignment vertical="top" wrapText="1"/>
    </xf>
    <xf numFmtId="0" fontId="7" fillId="0" borderId="0" xfId="0" applyFont="1" applyAlignment="1">
      <alignment horizontal="left" vertical="top" wrapText="1"/>
    </xf>
    <xf numFmtId="0" fontId="15" fillId="0" borderId="0" xfId="0" applyFont="1" applyAlignment="1">
      <alignment horizontal="left" vertical="top" wrapText="1"/>
    </xf>
    <xf numFmtId="0" fontId="12" fillId="0" borderId="3" xfId="0" applyFont="1" applyBorder="1" applyAlignment="1">
      <alignment vertical="top" wrapText="1"/>
    </xf>
    <xf numFmtId="0" fontId="4" fillId="0" borderId="8" xfId="0" applyFont="1" applyBorder="1" applyAlignment="1">
      <alignment vertical="top" wrapText="1"/>
    </xf>
    <xf numFmtId="164" fontId="5" fillId="0" borderId="0" xfId="2" applyFont="1" applyFill="1" applyBorder="1" applyAlignment="1">
      <alignment vertical="top" wrapText="1"/>
    </xf>
    <xf numFmtId="0" fontId="6" fillId="0" borderId="0" xfId="0" applyFont="1" applyAlignment="1">
      <alignment vertical="center" wrapText="1"/>
    </xf>
    <xf numFmtId="0" fontId="3" fillId="0" borderId="0" xfId="0" applyFont="1" applyAlignment="1">
      <alignment horizontal="left" vertical="top" wrapText="1"/>
    </xf>
    <xf numFmtId="0" fontId="8" fillId="0" borderId="0" xfId="0" applyFont="1" applyAlignment="1">
      <alignment horizontal="left" vertical="top" wrapText="1"/>
    </xf>
    <xf numFmtId="0" fontId="3" fillId="0" borderId="29" xfId="0" applyFont="1" applyBorder="1" applyAlignment="1">
      <alignment vertical="top" wrapText="1"/>
    </xf>
    <xf numFmtId="0" fontId="6" fillId="0" borderId="17" xfId="0" applyFont="1" applyBorder="1" applyAlignment="1">
      <alignment vertical="center" wrapText="1"/>
    </xf>
    <xf numFmtId="0" fontId="6" fillId="0" borderId="30" xfId="0" applyFont="1" applyBorder="1" applyAlignment="1">
      <alignment vertical="center" wrapText="1"/>
    </xf>
    <xf numFmtId="0" fontId="4"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6" fillId="2" borderId="0" xfId="0" applyFont="1" applyFill="1" applyAlignment="1">
      <alignment vertical="top" wrapText="1"/>
    </xf>
    <xf numFmtId="2" fontId="6" fillId="2" borderId="0" xfId="0" applyNumberFormat="1" applyFont="1" applyFill="1" applyAlignment="1">
      <alignment vertical="top" wrapText="1"/>
    </xf>
    <xf numFmtId="10" fontId="6" fillId="2" borderId="0" xfId="1" applyNumberFormat="1" applyFont="1" applyFill="1" applyBorder="1" applyAlignment="1">
      <alignment vertical="top" wrapText="1"/>
    </xf>
    <xf numFmtId="4" fontId="0" fillId="2" borderId="0" xfId="0" applyNumberFormat="1" applyFill="1"/>
    <xf numFmtId="167" fontId="6" fillId="2" borderId="0" xfId="1" applyNumberFormat="1" applyFont="1" applyFill="1" applyBorder="1" applyAlignment="1">
      <alignment vertical="top" wrapText="1"/>
    </xf>
    <xf numFmtId="2" fontId="4" fillId="0" borderId="11" xfId="0" applyNumberFormat="1" applyFont="1" applyBorder="1" applyAlignment="1">
      <alignment vertical="center" wrapText="1"/>
    </xf>
    <xf numFmtId="9" fontId="5" fillId="0" borderId="1" xfId="1" applyFont="1" applyFill="1" applyBorder="1" applyAlignment="1">
      <alignment horizontal="center" vertical="top" wrapText="1"/>
    </xf>
    <xf numFmtId="9" fontId="3" fillId="0" borderId="1" xfId="1" quotePrefix="1" applyFont="1" applyFill="1" applyBorder="1" applyAlignment="1">
      <alignment horizontal="center" vertical="top" wrapText="1"/>
    </xf>
    <xf numFmtId="0" fontId="3" fillId="0" borderId="1" xfId="0" applyFont="1" applyBorder="1" applyAlignment="1">
      <alignment horizontal="center"/>
    </xf>
    <xf numFmtId="2" fontId="3" fillId="0" borderId="1" xfId="0" applyNumberFormat="1" applyFont="1" applyBorder="1" applyAlignment="1">
      <alignment horizontal="center"/>
    </xf>
    <xf numFmtId="0" fontId="5" fillId="0" borderId="1" xfId="0" applyFont="1" applyBorder="1" applyAlignment="1">
      <alignment wrapText="1"/>
    </xf>
    <xf numFmtId="14" fontId="0" fillId="0" borderId="0" xfId="0" applyNumberFormat="1"/>
    <xf numFmtId="164" fontId="10" fillId="0" borderId="1" xfId="2" applyFont="1" applyFill="1" applyBorder="1" applyAlignment="1">
      <alignment horizontal="center" vertical="center" wrapText="1"/>
    </xf>
    <xf numFmtId="14" fontId="5" fillId="0" borderId="0" xfId="0" applyNumberFormat="1" applyFont="1" applyAlignment="1">
      <alignment vertical="top" wrapText="1"/>
    </xf>
    <xf numFmtId="167" fontId="6" fillId="0" borderId="1" xfId="0" applyNumberFormat="1" applyFont="1" applyBorder="1" applyAlignment="1">
      <alignment vertical="center" wrapText="1"/>
    </xf>
    <xf numFmtId="14" fontId="0" fillId="0" borderId="0" xfId="2" applyNumberFormat="1" applyFont="1"/>
    <xf numFmtId="4" fontId="5" fillId="0" borderId="1" xfId="0" applyNumberFormat="1" applyFont="1" applyBorder="1"/>
    <xf numFmtId="165" fontId="6" fillId="0" borderId="1" xfId="0" applyNumberFormat="1" applyFont="1" applyBorder="1" applyAlignment="1">
      <alignment vertical="center" wrapText="1"/>
    </xf>
    <xf numFmtId="2" fontId="3" fillId="2" borderId="1" xfId="0" quotePrefix="1" applyNumberFormat="1" applyFont="1" applyFill="1" applyBorder="1" applyAlignment="1">
      <alignment horizontal="center" vertical="top" wrapText="1"/>
    </xf>
    <xf numFmtId="14" fontId="4" fillId="0" borderId="0" xfId="2" applyNumberFormat="1" applyFont="1" applyFill="1" applyBorder="1" applyAlignment="1">
      <alignment horizontal="left" vertical="top" wrapText="1"/>
    </xf>
    <xf numFmtId="2" fontId="5" fillId="0" borderId="0" xfId="0" applyNumberFormat="1" applyFont="1" applyAlignment="1">
      <alignment vertical="top" wrapText="1"/>
    </xf>
    <xf numFmtId="2" fontId="0" fillId="0" borderId="0" xfId="0" applyNumberFormat="1"/>
    <xf numFmtId="3" fontId="6" fillId="0" borderId="0" xfId="0" applyNumberFormat="1" applyFont="1" applyAlignment="1">
      <alignment horizontal="left" vertical="top" wrapText="1"/>
    </xf>
    <xf numFmtId="0" fontId="4" fillId="0" borderId="3" xfId="0" applyFont="1" applyBorder="1" applyAlignment="1">
      <alignment horizontal="center" vertical="top" wrapText="1"/>
    </xf>
    <xf numFmtId="0" fontId="8" fillId="0" borderId="8" xfId="0" applyFont="1" applyBorder="1" applyAlignment="1">
      <alignment horizontal="left" vertical="top" wrapText="1"/>
    </xf>
    <xf numFmtId="0" fontId="2" fillId="0" borderId="0" xfId="0" applyFont="1" applyAlignment="1">
      <alignment horizontal="left" vertical="top" wrapText="1"/>
    </xf>
    <xf numFmtId="0" fontId="5" fillId="0" borderId="6" xfId="0" applyFont="1" applyBorder="1" applyAlignment="1">
      <alignment horizontal="left" vertical="top" wrapText="1"/>
    </xf>
    <xf numFmtId="0" fontId="8" fillId="0" borderId="7" xfId="0" applyFont="1" applyBorder="1" applyAlignment="1">
      <alignment horizontal="left" vertical="top" wrapText="1"/>
    </xf>
    <xf numFmtId="0" fontId="14" fillId="0" borderId="1" xfId="0" applyFont="1" applyBorder="1" applyAlignment="1">
      <alignment horizontal="left"/>
    </xf>
    <xf numFmtId="0" fontId="13" fillId="0" borderId="6"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2" fontId="6" fillId="0" borderId="8" xfId="0" applyNumberFormat="1" applyFont="1" applyBorder="1" applyAlignment="1">
      <alignment horizontal="center" vertical="top" wrapText="1"/>
    </xf>
    <xf numFmtId="2" fontId="6" fillId="0" borderId="9" xfId="0" quotePrefix="1" applyNumberFormat="1" applyFont="1" applyBorder="1" applyAlignment="1">
      <alignment horizontal="center" vertical="top" wrapText="1"/>
    </xf>
    <xf numFmtId="2" fontId="6" fillId="0" borderId="6" xfId="0" quotePrefix="1" applyNumberFormat="1" applyFont="1" applyBorder="1" applyAlignment="1">
      <alignment horizontal="center" vertical="top" wrapText="1"/>
    </xf>
    <xf numFmtId="0" fontId="8" fillId="0" borderId="1" xfId="0" applyFont="1" applyBorder="1" applyAlignment="1">
      <alignment horizontal="left" vertical="top" wrapText="1"/>
    </xf>
    <xf numFmtId="0" fontId="8" fillId="0" borderId="31" xfId="0" applyFont="1" applyBorder="1" applyAlignment="1">
      <alignment horizontal="left" vertical="top" wrapText="1"/>
    </xf>
    <xf numFmtId="0" fontId="4" fillId="0" borderId="18" xfId="0" applyFont="1" applyBorder="1" applyAlignment="1">
      <alignment horizontal="left" vertical="top" wrapText="1"/>
    </xf>
    <xf numFmtId="0" fontId="16" fillId="0" borderId="0" xfId="0" applyFont="1" applyAlignment="1">
      <alignment horizontal="left" vertical="top"/>
    </xf>
    <xf numFmtId="0" fontId="5" fillId="0" borderId="0" xfId="0" applyFont="1" applyAlignment="1">
      <alignment horizontal="left" vertical="top"/>
    </xf>
    <xf numFmtId="2" fontId="5" fillId="0" borderId="1" xfId="0" applyNumberFormat="1" applyFont="1" applyBorder="1" applyAlignment="1">
      <alignment horizontal="center" wrapText="1"/>
    </xf>
    <xf numFmtId="10" fontId="5" fillId="0" borderId="1" xfId="0" applyNumberFormat="1" applyFont="1" applyBorder="1" applyAlignment="1">
      <alignment horizontal="center" wrapText="1"/>
    </xf>
    <xf numFmtId="0" fontId="0" fillId="0" borderId="0" xfId="0" applyAlignment="1">
      <alignment wrapText="1"/>
    </xf>
    <xf numFmtId="0" fontId="4" fillId="0" borderId="45" xfId="0" applyFont="1" applyBorder="1" applyAlignment="1">
      <alignment horizontal="center" vertical="top" wrapText="1"/>
    </xf>
    <xf numFmtId="0" fontId="10" fillId="0" borderId="0" xfId="0" applyFont="1" applyAlignment="1">
      <alignment horizontal="center" vertical="center" wrapText="1"/>
    </xf>
    <xf numFmtId="0" fontId="4" fillId="0" borderId="6" xfId="0" applyFont="1" applyBorder="1" applyAlignment="1">
      <alignment horizontal="left" vertical="top" wrapText="1"/>
    </xf>
    <xf numFmtId="0" fontId="4" fillId="0" borderId="25" xfId="0" applyFont="1" applyBorder="1" applyAlignment="1">
      <alignment vertical="top" wrapText="1"/>
    </xf>
    <xf numFmtId="0" fontId="4" fillId="0" borderId="51" xfId="0" applyFont="1" applyBorder="1" applyAlignment="1">
      <alignment horizontal="center" vertical="top" wrapText="1"/>
    </xf>
    <xf numFmtId="0" fontId="12" fillId="0" borderId="6" xfId="0" applyFont="1" applyBorder="1" applyAlignment="1">
      <alignment horizontal="center" vertical="top" wrapText="1"/>
    </xf>
    <xf numFmtId="0" fontId="6" fillId="2" borderId="1" xfId="0" applyFont="1" applyFill="1" applyBorder="1" applyAlignment="1">
      <alignment vertical="top" wrapText="1"/>
    </xf>
    <xf numFmtId="16" fontId="5" fillId="0" borderId="0" xfId="0" applyNumberFormat="1" applyFont="1" applyAlignment="1">
      <alignment vertical="top" wrapText="1"/>
    </xf>
    <xf numFmtId="0" fontId="11" fillId="4" borderId="1" xfId="0" applyFont="1" applyFill="1" applyBorder="1" applyAlignment="1">
      <alignment horizontal="right" vertical="center" wrapText="1" indent="1"/>
    </xf>
    <xf numFmtId="164" fontId="6" fillId="0" borderId="1" xfId="2" applyFont="1" applyFill="1" applyBorder="1" applyAlignment="1">
      <alignment vertical="center" wrapText="1"/>
    </xf>
    <xf numFmtId="0" fontId="4" fillId="0" borderId="25" xfId="0" applyFont="1" applyBorder="1" applyAlignment="1">
      <alignment horizontal="left" vertical="top" wrapText="1"/>
    </xf>
    <xf numFmtId="0" fontId="4" fillId="0" borderId="6" xfId="0" applyFont="1" applyBorder="1" applyAlignment="1">
      <alignment vertical="top" wrapText="1"/>
    </xf>
    <xf numFmtId="2" fontId="3" fillId="0" borderId="1" xfId="0" quotePrefix="1" applyNumberFormat="1" applyFont="1" applyBorder="1" applyAlignment="1">
      <alignment horizontal="center" vertical="center" wrapText="1"/>
    </xf>
    <xf numFmtId="10" fontId="5" fillId="0" borderId="1" xfId="0" applyNumberFormat="1" applyFont="1" applyBorder="1" applyAlignment="1">
      <alignment horizontal="center" vertical="center"/>
    </xf>
    <xf numFmtId="0" fontId="5" fillId="3" borderId="1" xfId="0" applyFont="1" applyFill="1" applyBorder="1" applyAlignment="1">
      <alignment horizontal="center" vertical="top" wrapText="1"/>
    </xf>
    <xf numFmtId="0" fontId="10" fillId="3" borderId="1" xfId="0" applyFont="1" applyFill="1" applyBorder="1" applyAlignment="1">
      <alignment horizontal="center" vertical="center" wrapText="1"/>
    </xf>
    <xf numFmtId="0" fontId="20" fillId="0" borderId="0" xfId="0" applyFont="1" applyAlignment="1">
      <alignment wrapText="1"/>
    </xf>
    <xf numFmtId="0" fontId="17" fillId="3" borderId="1" xfId="0" applyFont="1" applyFill="1" applyBorder="1" applyAlignment="1">
      <alignment horizontal="center" vertical="center" wrapText="1"/>
    </xf>
    <xf numFmtId="14" fontId="4" fillId="0" borderId="0" xfId="0" applyNumberFormat="1" applyFont="1" applyAlignment="1">
      <alignment vertical="top" wrapText="1"/>
    </xf>
    <xf numFmtId="0" fontId="21" fillId="0" borderId="1" xfId="0" applyFont="1" applyBorder="1" applyAlignment="1">
      <alignment horizontal="center"/>
    </xf>
    <xf numFmtId="2" fontId="6" fillId="0" borderId="1" xfId="0" quotePrefix="1" applyNumberFormat="1" applyFont="1" applyBorder="1" applyAlignment="1">
      <alignment horizontal="center" vertical="top" wrapText="1"/>
    </xf>
    <xf numFmtId="0" fontId="21" fillId="0" borderId="1" xfId="0" applyFont="1" applyBorder="1" applyAlignment="1">
      <alignment horizontal="center" vertical="top"/>
    </xf>
    <xf numFmtId="0" fontId="0" fillId="0" borderId="0" xfId="0" applyAlignment="1">
      <alignment horizontal="center" vertical="top"/>
    </xf>
    <xf numFmtId="4" fontId="5" fillId="0" borderId="1" xfId="0" applyNumberFormat="1" applyFont="1" applyBorder="1" applyAlignment="1">
      <alignment horizontal="center" vertical="center"/>
    </xf>
    <xf numFmtId="2" fontId="6" fillId="2" borderId="1" xfId="0" quotePrefix="1" applyNumberFormat="1" applyFont="1" applyFill="1" applyBorder="1" applyAlignment="1">
      <alignment horizontal="center" vertical="top" wrapText="1"/>
    </xf>
    <xf numFmtId="0" fontId="11" fillId="0" borderId="0" xfId="0" applyFont="1" applyAlignment="1">
      <alignment horizontal="center"/>
    </xf>
    <xf numFmtId="0" fontId="5" fillId="0" borderId="1" xfId="0" applyFont="1" applyBorder="1" applyAlignment="1">
      <alignment horizontal="center" vertical="center" wrapText="1"/>
    </xf>
    <xf numFmtId="2" fontId="6" fillId="0" borderId="3" xfId="0" quotePrefix="1" applyNumberFormat="1" applyFont="1" applyBorder="1" applyAlignment="1">
      <alignment horizontal="center" vertical="top" wrapText="1"/>
    </xf>
    <xf numFmtId="0" fontId="4" fillId="0" borderId="8" xfId="0" applyFont="1" applyBorder="1" applyAlignment="1">
      <alignment horizontal="center" vertical="top" wrapText="1"/>
    </xf>
    <xf numFmtId="4" fontId="0" fillId="0" borderId="1" xfId="0" applyNumberFormat="1" applyBorder="1" applyAlignment="1">
      <alignment vertical="center"/>
    </xf>
    <xf numFmtId="4" fontId="5" fillId="0" borderId="1" xfId="0" applyNumberFormat="1" applyFont="1" applyBorder="1" applyAlignment="1">
      <alignment horizontal="center" vertical="top"/>
    </xf>
    <xf numFmtId="0" fontId="5" fillId="0" borderId="45" xfId="0" applyFont="1" applyBorder="1" applyAlignment="1">
      <alignment vertical="top" wrapText="1"/>
    </xf>
    <xf numFmtId="14" fontId="5" fillId="0" borderId="0" xfId="0" applyNumberFormat="1" applyFont="1"/>
    <xf numFmtId="0" fontId="16" fillId="0" borderId="45" xfId="0" applyFont="1" applyBorder="1" applyAlignment="1">
      <alignment vertical="top" wrapText="1"/>
    </xf>
    <xf numFmtId="164" fontId="6" fillId="0" borderId="1" xfId="2" applyFont="1" applyFill="1" applyBorder="1" applyAlignment="1">
      <alignment vertical="top" wrapText="1"/>
    </xf>
    <xf numFmtId="164" fontId="6" fillId="0" borderId="3" xfId="2" applyFont="1" applyFill="1" applyBorder="1" applyAlignment="1">
      <alignment vertical="top" wrapText="1"/>
    </xf>
    <xf numFmtId="10"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64" fontId="6" fillId="0" borderId="1" xfId="2" applyFont="1" applyFill="1" applyBorder="1" applyAlignment="1">
      <alignment horizontal="center" vertical="center" wrapText="1"/>
    </xf>
    <xf numFmtId="164" fontId="6" fillId="3" borderId="1" xfId="2" applyFont="1" applyFill="1" applyBorder="1" applyAlignment="1">
      <alignment vertical="top" wrapText="1"/>
    </xf>
    <xf numFmtId="164" fontId="6" fillId="0" borderId="24" xfId="2" applyFont="1" applyFill="1" applyBorder="1" applyAlignment="1">
      <alignment vertical="top" wrapText="1"/>
    </xf>
    <xf numFmtId="2" fontId="5" fillId="0" borderId="1" xfId="0" applyNumberFormat="1" applyFont="1" applyBorder="1" applyAlignment="1">
      <alignment vertical="center" wrapText="1"/>
    </xf>
    <xf numFmtId="2" fontId="5" fillId="0" borderId="1" xfId="1" applyNumberFormat="1" applyFont="1" applyFill="1" applyBorder="1" applyAlignment="1">
      <alignment vertical="center" wrapText="1"/>
    </xf>
    <xf numFmtId="10" fontId="5" fillId="0" borderId="1" xfId="1" applyNumberFormat="1"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center" vertical="center" wrapText="1"/>
    </xf>
    <xf numFmtId="10" fontId="4" fillId="0" borderId="1" xfId="0" applyNumberFormat="1" applyFont="1" applyBorder="1" applyAlignment="1">
      <alignment horizontal="center" vertical="center" wrapText="1"/>
    </xf>
    <xf numFmtId="2" fontId="4" fillId="0" borderId="1" xfId="0" quotePrefix="1" applyNumberFormat="1" applyFont="1" applyBorder="1" applyAlignment="1">
      <alignment horizontal="center" vertical="top" wrapText="1"/>
    </xf>
    <xf numFmtId="10" fontId="4" fillId="0" borderId="1" xfId="1" applyNumberFormat="1" applyFont="1" applyFill="1" applyBorder="1" applyAlignment="1">
      <alignment horizontal="center" vertical="center" wrapText="1"/>
    </xf>
    <xf numFmtId="0" fontId="11" fillId="0" borderId="1" xfId="0" applyFont="1" applyBorder="1" applyAlignment="1">
      <alignment horizontal="center"/>
    </xf>
    <xf numFmtId="2" fontId="11" fillId="0" borderId="1" xfId="0" applyNumberFormat="1" applyFont="1" applyBorder="1" applyAlignment="1">
      <alignment horizontal="center"/>
    </xf>
    <xf numFmtId="0" fontId="5" fillId="0" borderId="8" xfId="0" applyFont="1" applyBorder="1" applyAlignment="1">
      <alignment wrapText="1"/>
    </xf>
    <xf numFmtId="10" fontId="6" fillId="0" borderId="1" xfId="0" applyNumberFormat="1" applyFont="1" applyBorder="1" applyAlignment="1">
      <alignment horizontal="center" vertical="top" wrapText="1"/>
    </xf>
    <xf numFmtId="0" fontId="6" fillId="0" borderId="64" xfId="0" applyFont="1" applyBorder="1" applyAlignment="1">
      <alignment vertical="top" wrapText="1"/>
    </xf>
    <xf numFmtId="0" fontId="4" fillId="0" borderId="25" xfId="0" applyFont="1" applyBorder="1" applyAlignment="1">
      <alignment horizontal="left" vertical="top"/>
    </xf>
    <xf numFmtId="0" fontId="5" fillId="0" borderId="30" xfId="0" applyFont="1" applyBorder="1" applyAlignment="1">
      <alignment vertical="top" wrapText="1"/>
    </xf>
    <xf numFmtId="0" fontId="14"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25" xfId="0" applyFont="1" applyBorder="1" applyAlignment="1">
      <alignment horizontal="left" vertical="top" wrapText="1"/>
    </xf>
    <xf numFmtId="164" fontId="5" fillId="0" borderId="1" xfId="2" applyFont="1" applyFill="1" applyBorder="1" applyAlignment="1">
      <alignment horizontal="center" vertical="center" wrapText="1"/>
    </xf>
    <xf numFmtId="1" fontId="5" fillId="0" borderId="1" xfId="0" applyNumberFormat="1" applyFont="1" applyBorder="1" applyAlignment="1">
      <alignment horizontal="center" vertical="center" wrapText="1"/>
    </xf>
    <xf numFmtId="10" fontId="5" fillId="0" borderId="1" xfId="1" applyNumberFormat="1" applyFont="1" applyFill="1" applyBorder="1" applyAlignment="1">
      <alignment horizontal="center" vertical="center" wrapText="1"/>
    </xf>
    <xf numFmtId="164" fontId="6" fillId="0" borderId="0" xfId="2" applyFont="1" applyFill="1" applyBorder="1" applyAlignment="1">
      <alignment vertical="top" wrapText="1"/>
    </xf>
    <xf numFmtId="170" fontId="3" fillId="0" borderId="1" xfId="0" quotePrefix="1" applyNumberFormat="1" applyFont="1" applyBorder="1" applyAlignment="1">
      <alignment horizontal="center" vertical="center" wrapText="1"/>
    </xf>
    <xf numFmtId="10" fontId="5" fillId="0" borderId="1" xfId="1" applyNumberFormat="1" applyFont="1" applyBorder="1" applyAlignment="1">
      <alignment horizontal="center" vertical="center"/>
    </xf>
    <xf numFmtId="10" fontId="6" fillId="0" borderId="7" xfId="0" applyNumberFormat="1" applyFont="1" applyBorder="1" applyAlignment="1">
      <alignment vertical="top" wrapText="1"/>
    </xf>
    <xf numFmtId="10" fontId="3" fillId="0" borderId="1" xfId="1" quotePrefix="1" applyNumberFormat="1" applyFont="1" applyFill="1" applyBorder="1" applyAlignment="1">
      <alignment horizontal="center" vertical="center" wrapText="1"/>
    </xf>
    <xf numFmtId="0" fontId="22" fillId="0" borderId="0" xfId="0" applyFont="1" applyAlignment="1">
      <alignment vertical="top" wrapText="1"/>
    </xf>
    <xf numFmtId="0" fontId="3" fillId="0" borderId="1" xfId="1" quotePrefix="1" applyNumberFormat="1" applyFont="1" applyFill="1" applyBorder="1" applyAlignment="1">
      <alignment horizontal="center" vertical="center" wrapText="1"/>
    </xf>
    <xf numFmtId="0" fontId="5" fillId="0" borderId="0" xfId="0" applyFont="1" applyAlignment="1">
      <alignment vertical="top"/>
    </xf>
    <xf numFmtId="0" fontId="5" fillId="2" borderId="1" xfId="0" applyFont="1" applyFill="1" applyBorder="1" applyAlignment="1">
      <alignment vertical="top" wrapText="1"/>
    </xf>
    <xf numFmtId="2" fontId="5" fillId="0" borderId="8" xfId="0" applyNumberFormat="1" applyFont="1" applyBorder="1" applyAlignment="1">
      <alignment horizontal="left" wrapText="1"/>
    </xf>
    <xf numFmtId="2" fontId="5" fillId="0" borderId="9" xfId="0" applyNumberFormat="1" applyFont="1" applyBorder="1" applyAlignment="1">
      <alignment horizontal="left" wrapText="1"/>
    </xf>
    <xf numFmtId="2" fontId="5" fillId="0" borderId="6" xfId="0" applyNumberFormat="1" applyFont="1" applyBorder="1" applyAlignment="1">
      <alignment horizontal="left" wrapText="1"/>
    </xf>
    <xf numFmtId="2" fontId="5" fillId="2" borderId="1" xfId="0" applyNumberFormat="1" applyFont="1" applyFill="1" applyBorder="1" applyAlignment="1">
      <alignment horizontal="center"/>
    </xf>
    <xf numFmtId="10" fontId="5" fillId="0" borderId="1" xfId="0" quotePrefix="1" applyNumberFormat="1" applyFont="1" applyBorder="1" applyAlignment="1">
      <alignment horizontal="center"/>
    </xf>
    <xf numFmtId="10" fontId="5" fillId="2" borderId="1" xfId="0" applyNumberFormat="1" applyFont="1" applyFill="1" applyBorder="1" applyAlignment="1">
      <alignment horizontal="center"/>
    </xf>
    <xf numFmtId="0" fontId="5" fillId="0" borderId="9" xfId="0" applyFont="1" applyBorder="1" applyAlignment="1">
      <alignment vertical="top" wrapText="1"/>
    </xf>
    <xf numFmtId="0" fontId="3" fillId="0" borderId="1" xfId="0" applyFont="1" applyBorder="1" applyAlignment="1">
      <alignment wrapText="1"/>
    </xf>
    <xf numFmtId="10" fontId="6" fillId="0" borderId="1" xfId="1" quotePrefix="1" applyNumberFormat="1" applyFont="1" applyFill="1" applyBorder="1" applyAlignment="1">
      <alignment horizontal="center" vertical="top" wrapText="1"/>
    </xf>
    <xf numFmtId="2" fontId="5" fillId="0" borderId="0" xfId="0" applyNumberFormat="1" applyFont="1"/>
    <xf numFmtId="0" fontId="0" fillId="0" borderId="1" xfId="0" applyBorder="1" applyAlignment="1">
      <alignment horizontal="left" vertical="top" wrapText="1"/>
    </xf>
    <xf numFmtId="0" fontId="6" fillId="0" borderId="8" xfId="0" applyFont="1" applyBorder="1" applyAlignment="1">
      <alignment vertical="top" wrapText="1"/>
    </xf>
    <xf numFmtId="0" fontId="22" fillId="0" borderId="0" xfId="0" applyFont="1" applyAlignment="1">
      <alignment vertical="top"/>
    </xf>
    <xf numFmtId="0" fontId="0" fillId="0" borderId="0" xfId="0" applyAlignment="1">
      <alignment horizontal="left" vertical="top" wrapText="1"/>
    </xf>
    <xf numFmtId="0" fontId="25" fillId="0" borderId="0" xfId="0" applyFont="1" applyAlignment="1">
      <alignment vertical="top"/>
    </xf>
    <xf numFmtId="0" fontId="6" fillId="0" borderId="7" xfId="0" applyFont="1" applyBorder="1" applyAlignment="1">
      <alignment horizontal="center" vertical="top" wrapText="1"/>
    </xf>
    <xf numFmtId="0" fontId="2" fillId="0" borderId="0" xfId="0" applyFont="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8" xfId="0" applyFont="1" applyBorder="1" applyAlignment="1">
      <alignment horizontal="left" vertical="top" wrapText="1"/>
    </xf>
    <xf numFmtId="0" fontId="13" fillId="0" borderId="6"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10" fontId="6" fillId="0" borderId="7" xfId="0" applyNumberFormat="1" applyFont="1" applyBorder="1" applyAlignment="1">
      <alignment horizontal="center" vertical="top" wrapText="1"/>
    </xf>
    <xf numFmtId="0" fontId="8" fillId="0" borderId="9" xfId="0" applyFont="1" applyBorder="1" applyAlignment="1">
      <alignment horizontal="left" vertical="top" wrapText="1"/>
    </xf>
    <xf numFmtId="0" fontId="8" fillId="0" borderId="6" xfId="0" applyFont="1" applyBorder="1" applyAlignment="1">
      <alignment horizontal="left" vertical="top" wrapText="1"/>
    </xf>
    <xf numFmtId="0" fontId="4" fillId="0" borderId="8" xfId="0" applyFont="1" applyBorder="1" applyAlignment="1">
      <alignment horizontal="right" vertical="top" wrapText="1"/>
    </xf>
    <xf numFmtId="0" fontId="4" fillId="0" borderId="9" xfId="0" applyFont="1" applyBorder="1" applyAlignment="1">
      <alignment horizontal="right" vertical="top" wrapText="1"/>
    </xf>
    <xf numFmtId="0" fontId="4" fillId="0" borderId="6" xfId="0" applyFont="1" applyBorder="1" applyAlignment="1">
      <alignment horizontal="right"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6" xfId="0" applyFont="1" applyBorder="1" applyAlignment="1">
      <alignment horizontal="center" vertical="top" wrapText="1"/>
    </xf>
    <xf numFmtId="0" fontId="4" fillId="0" borderId="6"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6"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2" fontId="5" fillId="0" borderId="4" xfId="0" applyNumberFormat="1" applyFont="1" applyBorder="1" applyAlignment="1">
      <alignment horizontal="center" wrapText="1"/>
    </xf>
    <xf numFmtId="2" fontId="5" fillId="0" borderId="5" xfId="0" applyNumberFormat="1" applyFont="1" applyBorder="1" applyAlignment="1">
      <alignment horizontal="center" wrapText="1"/>
    </xf>
    <xf numFmtId="2" fontId="5" fillId="0" borderId="25" xfId="0" applyNumberFormat="1" applyFont="1" applyBorder="1" applyAlignment="1">
      <alignment horizontal="center" wrapText="1"/>
    </xf>
    <xf numFmtId="2" fontId="5" fillId="0" borderId="29" xfId="0" applyNumberFormat="1" applyFont="1" applyBorder="1" applyAlignment="1">
      <alignment horizontal="center" wrapText="1"/>
    </xf>
    <xf numFmtId="2" fontId="5" fillId="0" borderId="17" xfId="0" applyNumberFormat="1" applyFont="1" applyBorder="1" applyAlignment="1">
      <alignment horizontal="center" wrapText="1"/>
    </xf>
    <xf numFmtId="2" fontId="5" fillId="0" borderId="30" xfId="0" applyNumberFormat="1" applyFont="1" applyBorder="1" applyAlignment="1">
      <alignment horizontal="center" wrapText="1"/>
    </xf>
    <xf numFmtId="2" fontId="5" fillId="0" borderId="1" xfId="0" applyNumberFormat="1" applyFont="1" applyBorder="1" applyAlignment="1">
      <alignment horizontal="center" vertical="top" wrapText="1"/>
    </xf>
    <xf numFmtId="0" fontId="14" fillId="0" borderId="1" xfId="0" applyFont="1" applyBorder="1" applyAlignment="1">
      <alignment horizontal="left"/>
    </xf>
    <xf numFmtId="0" fontId="6" fillId="0" borderId="1" xfId="0" applyFont="1" applyBorder="1" applyAlignment="1">
      <alignment horizontal="left" vertical="top" wrapText="1"/>
    </xf>
    <xf numFmtId="0" fontId="12" fillId="0" borderId="1"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6" xfId="0" applyFont="1" applyBorder="1" applyAlignment="1">
      <alignment horizontal="center" vertical="top" wrapText="1"/>
    </xf>
    <xf numFmtId="0" fontId="4" fillId="0" borderId="1" xfId="0" applyFont="1" applyBorder="1" applyAlignment="1">
      <alignment horizontal="center" vertical="top" wrapText="1"/>
    </xf>
    <xf numFmtId="0" fontId="7" fillId="0" borderId="7" xfId="0" applyFont="1" applyBorder="1" applyAlignment="1">
      <alignment horizontal="left" vertical="top" wrapText="1"/>
    </xf>
    <xf numFmtId="0" fontId="7" fillId="0" borderId="31" xfId="0" applyFont="1" applyBorder="1" applyAlignment="1">
      <alignment horizontal="left" vertical="top" wrapText="1"/>
    </xf>
    <xf numFmtId="0" fontId="13" fillId="0" borderId="7" xfId="0" applyFont="1" applyBorder="1" applyAlignment="1">
      <alignment horizontal="left" vertical="top" wrapText="1"/>
    </xf>
    <xf numFmtId="0" fontId="4" fillId="0" borderId="18" xfId="0" applyFont="1" applyBorder="1" applyAlignment="1">
      <alignment horizontal="left" vertical="top" wrapText="1"/>
    </xf>
    <xf numFmtId="0" fontId="4" fillId="0" borderId="3" xfId="0" applyFont="1" applyBorder="1" applyAlignment="1">
      <alignment horizontal="center" vertical="top" wrapText="1"/>
    </xf>
    <xf numFmtId="0" fontId="4" fillId="0" borderId="18" xfId="0" applyFont="1" applyBorder="1" applyAlignment="1">
      <alignment horizontal="center"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5" fillId="0" borderId="17" xfId="0" applyFont="1" applyBorder="1" applyAlignment="1">
      <alignment horizontal="center" vertical="top" wrapText="1"/>
    </xf>
    <xf numFmtId="0" fontId="5" fillId="0" borderId="25" xfId="0" applyFont="1" applyBorder="1" applyAlignment="1">
      <alignment horizontal="left" vertical="top" wrapText="1"/>
    </xf>
    <xf numFmtId="0" fontId="16" fillId="0" borderId="0" xfId="0" applyFont="1" applyAlignment="1">
      <alignment horizontal="center" vertical="top" wrapText="1"/>
    </xf>
    <xf numFmtId="0" fontId="5" fillId="0" borderId="0" xfId="0" applyFont="1" applyAlignment="1">
      <alignment horizontal="center" vertical="top" wrapText="1"/>
    </xf>
    <xf numFmtId="0" fontId="12" fillId="0" borderId="3" xfId="0" applyFont="1" applyBorder="1" applyAlignment="1">
      <alignment horizontal="center" vertical="top" wrapText="1"/>
    </xf>
    <xf numFmtId="0" fontId="14"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5" fillId="0" borderId="6"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6" xfId="0" applyFont="1" applyFill="1" applyBorder="1" applyAlignment="1">
      <alignment horizontal="left" vertical="top" wrapText="1"/>
    </xf>
    <xf numFmtId="0" fontId="5" fillId="0" borderId="1" xfId="0" applyFont="1" applyBorder="1" applyAlignment="1">
      <alignment vertical="top" wrapText="1"/>
    </xf>
    <xf numFmtId="0" fontId="5" fillId="0" borderId="18" xfId="0" applyFont="1" applyBorder="1" applyAlignment="1">
      <alignment horizontal="center" vertical="center" wrapText="1"/>
    </xf>
    <xf numFmtId="2" fontId="5" fillId="0" borderId="8" xfId="0" applyNumberFormat="1" applyFont="1" applyBorder="1" applyAlignment="1">
      <alignment horizontal="left" wrapText="1"/>
    </xf>
    <xf numFmtId="2" fontId="5" fillId="0" borderId="9" xfId="0" applyNumberFormat="1" applyFont="1" applyBorder="1" applyAlignment="1">
      <alignment horizontal="left" wrapText="1"/>
    </xf>
    <xf numFmtId="2" fontId="5" fillId="0" borderId="6" xfId="0" applyNumberFormat="1" applyFont="1" applyBorder="1" applyAlignment="1">
      <alignment horizontal="left" wrapText="1"/>
    </xf>
    <xf numFmtId="2" fontId="5" fillId="0" borderId="8" xfId="0" applyNumberFormat="1" applyFont="1" applyBorder="1" applyAlignment="1">
      <alignment horizontal="left" vertical="top" wrapText="1"/>
    </xf>
    <xf numFmtId="2" fontId="5" fillId="0" borderId="9" xfId="0" applyNumberFormat="1" applyFont="1" applyBorder="1" applyAlignment="1">
      <alignment horizontal="left" vertical="top" wrapText="1"/>
    </xf>
    <xf numFmtId="2" fontId="5" fillId="0" borderId="6" xfId="0" applyNumberFormat="1" applyFont="1" applyBorder="1" applyAlignment="1">
      <alignment horizontal="left" vertical="top"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5" xfId="0" applyFont="1" applyFill="1" applyBorder="1" applyAlignment="1">
      <alignment horizontal="left" vertical="top"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2" fontId="6" fillId="0" borderId="4" xfId="0" applyNumberFormat="1" applyFont="1" applyBorder="1" applyAlignment="1">
      <alignment horizontal="center" wrapText="1"/>
    </xf>
    <xf numFmtId="2" fontId="6" fillId="0" borderId="5" xfId="0" applyNumberFormat="1" applyFont="1" applyBorder="1" applyAlignment="1">
      <alignment horizontal="center" wrapText="1"/>
    </xf>
    <xf numFmtId="2" fontId="6" fillId="0" borderId="25" xfId="0" applyNumberFormat="1" applyFont="1" applyBorder="1" applyAlignment="1">
      <alignment horizontal="center" wrapText="1"/>
    </xf>
    <xf numFmtId="2" fontId="6" fillId="0" borderId="29" xfId="0" applyNumberFormat="1" applyFont="1" applyBorder="1" applyAlignment="1">
      <alignment horizontal="center" wrapText="1"/>
    </xf>
    <xf numFmtId="2" fontId="6" fillId="0" borderId="17" xfId="0" applyNumberFormat="1" applyFont="1" applyBorder="1" applyAlignment="1">
      <alignment horizontal="center" wrapText="1"/>
    </xf>
    <xf numFmtId="2" fontId="6" fillId="0" borderId="30" xfId="0" applyNumberFormat="1" applyFont="1" applyBorder="1" applyAlignment="1">
      <alignment horizontal="center" wrapText="1"/>
    </xf>
    <xf numFmtId="2" fontId="6" fillId="0" borderId="1" xfId="0" applyNumberFormat="1" applyFont="1" applyBorder="1" applyAlignment="1">
      <alignment horizontal="center"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6" fillId="0" borderId="1" xfId="0" applyFont="1" applyBorder="1" applyAlignment="1">
      <alignment horizontal="center" vertical="top" wrapText="1"/>
    </xf>
    <xf numFmtId="0" fontId="6" fillId="0" borderId="32"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6" xfId="0" applyFont="1" applyBorder="1" applyAlignment="1">
      <alignment horizontal="center" vertical="top" wrapText="1"/>
    </xf>
    <xf numFmtId="0" fontId="16" fillId="0" borderId="8" xfId="0" applyFont="1" applyBorder="1" applyAlignment="1">
      <alignment horizontal="left" vertical="top" wrapText="1"/>
    </xf>
    <xf numFmtId="0" fontId="5" fillId="0" borderId="3" xfId="0" applyFont="1" applyBorder="1" applyAlignment="1">
      <alignment horizontal="left" vertical="center" wrapText="1"/>
    </xf>
    <xf numFmtId="0" fontId="5" fillId="0" borderId="18" xfId="0" applyFont="1" applyBorder="1" applyAlignment="1">
      <alignment horizontal="left" vertical="center" wrapText="1"/>
    </xf>
    <xf numFmtId="10" fontId="6" fillId="0" borderId="32" xfId="0" applyNumberFormat="1" applyFont="1" applyBorder="1" applyAlignment="1">
      <alignment horizontal="center" vertical="top"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1" xfId="0" applyFont="1" applyBorder="1" applyAlignment="1">
      <alignment horizontal="left" vertical="top" wrapText="1"/>
    </xf>
    <xf numFmtId="0" fontId="13" fillId="0" borderId="31" xfId="0" applyFont="1" applyBorder="1" applyAlignment="1">
      <alignment horizontal="left" vertical="top" wrapText="1"/>
    </xf>
    <xf numFmtId="2" fontId="5" fillId="0" borderId="1" xfId="0" applyNumberFormat="1" applyFont="1" applyBorder="1" applyAlignment="1">
      <alignment horizontal="left" vertical="top" wrapText="1"/>
    </xf>
    <xf numFmtId="2" fontId="5" fillId="0" borderId="4" xfId="0" applyNumberFormat="1" applyFont="1" applyBorder="1" applyAlignment="1">
      <alignment horizontal="left" wrapText="1"/>
    </xf>
    <xf numFmtId="2" fontId="5" fillId="0" borderId="5" xfId="0" applyNumberFormat="1" applyFont="1" applyBorder="1" applyAlignment="1">
      <alignment horizontal="left" wrapText="1"/>
    </xf>
    <xf numFmtId="2" fontId="5" fillId="0" borderId="25" xfId="0" applyNumberFormat="1" applyFont="1" applyBorder="1" applyAlignment="1">
      <alignment horizontal="left" wrapText="1"/>
    </xf>
    <xf numFmtId="2" fontId="5" fillId="0" borderId="29" xfId="0" applyNumberFormat="1" applyFont="1" applyBorder="1" applyAlignment="1">
      <alignment horizontal="left" wrapText="1"/>
    </xf>
    <xf numFmtId="2" fontId="5" fillId="0" borderId="17" xfId="0" applyNumberFormat="1" applyFont="1" applyBorder="1" applyAlignment="1">
      <alignment horizontal="left" wrapText="1"/>
    </xf>
    <xf numFmtId="2" fontId="5" fillId="0" borderId="30" xfId="0" applyNumberFormat="1" applyFont="1" applyBorder="1" applyAlignment="1">
      <alignment horizontal="left" wrapText="1"/>
    </xf>
    <xf numFmtId="0" fontId="13" fillId="0" borderId="28" xfId="0" applyFont="1" applyBorder="1" applyAlignment="1">
      <alignment horizontal="left" vertical="top" wrapText="1"/>
    </xf>
    <xf numFmtId="0" fontId="12" fillId="0" borderId="6" xfId="0" applyFont="1" applyBorder="1" applyAlignment="1">
      <alignment horizontal="center" vertical="top" wrapText="1"/>
    </xf>
    <xf numFmtId="0" fontId="14" fillId="0" borderId="9" xfId="0" applyFont="1" applyBorder="1" applyAlignment="1">
      <alignment horizontal="left" vertical="top" wrapText="1"/>
    </xf>
    <xf numFmtId="0" fontId="12" fillId="0" borderId="25" xfId="0" applyFont="1" applyBorder="1" applyAlignment="1">
      <alignment horizontal="center" vertical="top" wrapText="1"/>
    </xf>
    <xf numFmtId="2" fontId="5" fillId="0" borderId="8" xfId="0" applyNumberFormat="1" applyFont="1" applyBorder="1" applyAlignment="1">
      <alignment horizontal="center" vertical="top" wrapText="1"/>
    </xf>
    <xf numFmtId="2" fontId="5" fillId="0" borderId="9" xfId="0" applyNumberFormat="1" applyFont="1" applyBorder="1" applyAlignment="1">
      <alignment horizontal="center" vertical="top" wrapText="1"/>
    </xf>
    <xf numFmtId="2" fontId="5" fillId="0" borderId="6" xfId="0" applyNumberFormat="1" applyFont="1" applyBorder="1" applyAlignment="1">
      <alignment horizontal="center" vertical="top" wrapText="1"/>
    </xf>
    <xf numFmtId="0" fontId="8" fillId="0" borderId="31" xfId="0" applyFont="1" applyBorder="1" applyAlignment="1">
      <alignment horizontal="left" vertical="top" wrapText="1"/>
    </xf>
    <xf numFmtId="0" fontId="8" fillId="0" borderId="52" xfId="0" applyFont="1" applyBorder="1" applyAlignment="1">
      <alignment horizontal="left" vertical="top"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4" fillId="0" borderId="0" xfId="0" applyFont="1" applyAlignment="1">
      <alignment horizontal="center" vertical="top" wrapText="1"/>
    </xf>
    <xf numFmtId="2" fontId="5" fillId="3" borderId="1" xfId="0" applyNumberFormat="1" applyFont="1" applyFill="1" applyBorder="1" applyAlignment="1">
      <alignment horizontal="center" vertical="top" wrapText="1"/>
    </xf>
    <xf numFmtId="0" fontId="8" fillId="0" borderId="1" xfId="0" applyFont="1" applyBorder="1" applyAlignment="1">
      <alignment horizontal="left" vertical="top" wrapText="1"/>
    </xf>
    <xf numFmtId="2" fontId="5" fillId="3" borderId="4" xfId="0" applyNumberFormat="1" applyFont="1" applyFill="1" applyBorder="1" applyAlignment="1">
      <alignment horizontal="center" wrapText="1"/>
    </xf>
    <xf numFmtId="2" fontId="5" fillId="3" borderId="5" xfId="0" applyNumberFormat="1" applyFont="1" applyFill="1" applyBorder="1" applyAlignment="1">
      <alignment horizontal="center" wrapText="1"/>
    </xf>
    <xf numFmtId="2" fontId="5" fillId="3" borderId="25" xfId="0" applyNumberFormat="1" applyFont="1" applyFill="1" applyBorder="1" applyAlignment="1">
      <alignment horizontal="center" wrapText="1"/>
    </xf>
    <xf numFmtId="2" fontId="5" fillId="3" borderId="29" xfId="0" applyNumberFormat="1" applyFont="1" applyFill="1" applyBorder="1" applyAlignment="1">
      <alignment horizontal="center" wrapText="1"/>
    </xf>
    <xf numFmtId="2" fontId="5" fillId="3" borderId="17" xfId="0" applyNumberFormat="1" applyFont="1" applyFill="1" applyBorder="1" applyAlignment="1">
      <alignment horizontal="center" wrapText="1"/>
    </xf>
    <xf numFmtId="2" fontId="5" fillId="3" borderId="30" xfId="0" applyNumberFormat="1" applyFont="1" applyFill="1" applyBorder="1" applyAlignment="1">
      <alignment horizontal="center" wrapText="1"/>
    </xf>
    <xf numFmtId="2" fontId="5" fillId="3" borderId="8" xfId="0" applyNumberFormat="1" applyFont="1" applyFill="1" applyBorder="1" applyAlignment="1">
      <alignment horizontal="center" vertical="top" wrapText="1"/>
    </xf>
    <xf numFmtId="2" fontId="5" fillId="3" borderId="9" xfId="0" applyNumberFormat="1" applyFont="1" applyFill="1" applyBorder="1" applyAlignment="1">
      <alignment horizontal="center" vertical="top" wrapText="1"/>
    </xf>
    <xf numFmtId="2" fontId="5" fillId="3" borderId="6" xfId="0" applyNumberFormat="1" applyFont="1" applyFill="1" applyBorder="1" applyAlignment="1">
      <alignment horizontal="center" vertical="top" wrapText="1"/>
    </xf>
    <xf numFmtId="0" fontId="14" fillId="0" borderId="8" xfId="0" applyFont="1" applyBorder="1" applyAlignment="1">
      <alignment horizontal="left"/>
    </xf>
    <xf numFmtId="0" fontId="14" fillId="0" borderId="9" xfId="0" applyFont="1" applyBorder="1" applyAlignment="1">
      <alignment horizontal="left"/>
    </xf>
    <xf numFmtId="0" fontId="14" fillId="0" borderId="6" xfId="0" applyFont="1" applyBorder="1" applyAlignment="1">
      <alignment horizontal="left"/>
    </xf>
    <xf numFmtId="2" fontId="6" fillId="3" borderId="1" xfId="0" applyNumberFormat="1" applyFont="1" applyFill="1" applyBorder="1" applyAlignment="1">
      <alignment horizontal="center" vertical="top" wrapText="1"/>
    </xf>
    <xf numFmtId="0" fontId="4" fillId="0" borderId="34" xfId="0" applyFont="1" applyBorder="1" applyAlignment="1">
      <alignment horizontal="center"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5" fillId="0" borderId="1" xfId="0" applyFont="1" applyBorder="1" applyAlignment="1">
      <alignment horizontal="center" vertical="top" wrapText="1"/>
    </xf>
    <xf numFmtId="10" fontId="6" fillId="0" borderId="1" xfId="0" applyNumberFormat="1" applyFont="1" applyBorder="1" applyAlignment="1">
      <alignment horizontal="center" vertical="top" wrapText="1"/>
    </xf>
    <xf numFmtId="0" fontId="0" fillId="0" borderId="1" xfId="0" applyBorder="1" applyAlignment="1">
      <alignment horizontal="left" vertical="top" wrapText="1"/>
    </xf>
    <xf numFmtId="2" fontId="5" fillId="0" borderId="1" xfId="0" applyNumberFormat="1" applyFont="1" applyBorder="1" applyAlignment="1">
      <alignment horizont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4" fillId="0" borderId="1" xfId="0" applyFont="1" applyBorder="1" applyAlignment="1">
      <alignment horizontal="left" wrapText="1"/>
    </xf>
    <xf numFmtId="0" fontId="4" fillId="0" borderId="4" xfId="0" applyFont="1" applyBorder="1" applyAlignment="1">
      <alignment horizontal="center" vertical="top" wrapText="1"/>
    </xf>
    <xf numFmtId="0" fontId="4" fillId="0" borderId="25" xfId="0" applyFont="1" applyBorder="1" applyAlignment="1">
      <alignment horizontal="center" vertical="top" wrapText="1"/>
    </xf>
    <xf numFmtId="0" fontId="5" fillId="0" borderId="1" xfId="0" applyFont="1" applyBorder="1" applyAlignment="1">
      <alignment horizontal="center" vertical="center" wrapText="1"/>
    </xf>
    <xf numFmtId="0" fontId="5" fillId="0" borderId="55" xfId="0" applyFont="1" applyBorder="1" applyAlignment="1">
      <alignment horizontal="center" vertical="top" wrapText="1"/>
    </xf>
    <xf numFmtId="0" fontId="5" fillId="0" borderId="56" xfId="0" applyFont="1" applyBorder="1" applyAlignment="1">
      <alignment horizontal="center" vertical="top" wrapText="1"/>
    </xf>
    <xf numFmtId="0" fontId="4" fillId="0" borderId="29"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3" fillId="0" borderId="1" xfId="0" applyFont="1" applyBorder="1" applyAlignment="1">
      <alignment horizontal="left" vertical="top" wrapText="1"/>
    </xf>
    <xf numFmtId="0" fontId="10" fillId="0" borderId="1" xfId="0" applyFont="1" applyBorder="1" applyAlignment="1">
      <alignment horizontal="center" vertical="top" wrapText="1"/>
    </xf>
    <xf numFmtId="0" fontId="17" fillId="0" borderId="1" xfId="0" applyFont="1" applyBorder="1" applyAlignment="1">
      <alignment horizontal="center" vertical="center" wrapText="1"/>
    </xf>
    <xf numFmtId="0" fontId="3" fillId="0" borderId="1" xfId="0" applyFont="1" applyBorder="1" applyAlignment="1">
      <alignment horizontal="center" vertical="top" wrapText="1"/>
    </xf>
    <xf numFmtId="0" fontId="10" fillId="0" borderId="1" xfId="0" applyFont="1" applyBorder="1" applyAlignment="1">
      <alignment horizontal="center" vertical="center"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2" fontId="5" fillId="0" borderId="4" xfId="0" applyNumberFormat="1" applyFont="1" applyBorder="1" applyAlignment="1">
      <alignment horizontal="center" vertical="top" wrapText="1"/>
    </xf>
    <xf numFmtId="2" fontId="5" fillId="0" borderId="5" xfId="0" applyNumberFormat="1" applyFont="1" applyBorder="1" applyAlignment="1">
      <alignment horizontal="center" vertical="top" wrapText="1"/>
    </xf>
    <xf numFmtId="0" fontId="7" fillId="0" borderId="57" xfId="0" applyFont="1" applyBorder="1" applyAlignment="1">
      <alignment horizontal="left" vertical="top" wrapText="1"/>
    </xf>
    <xf numFmtId="0" fontId="7" fillId="0" borderId="56" xfId="0" applyFont="1" applyBorder="1" applyAlignment="1">
      <alignment horizontal="left" vertical="top" wrapText="1"/>
    </xf>
    <xf numFmtId="0" fontId="7" fillId="0" borderId="58" xfId="0" applyFont="1" applyBorder="1" applyAlignment="1">
      <alignment horizontal="left" vertical="top" wrapText="1"/>
    </xf>
    <xf numFmtId="0" fontId="13" fillId="0" borderId="26" xfId="0" applyFont="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15" fillId="0" borderId="1" xfId="0" applyFont="1" applyBorder="1" applyAlignment="1">
      <alignment horizontal="left" vertical="top"/>
    </xf>
    <xf numFmtId="0" fontId="7" fillId="0" borderId="1" xfId="0" applyFont="1" applyBorder="1" applyAlignment="1">
      <alignment horizontal="left" vertical="top"/>
    </xf>
    <xf numFmtId="0" fontId="0" fillId="0" borderId="1" xfId="0" applyBorder="1" applyAlignment="1">
      <alignment horizontal="left" vertical="top"/>
    </xf>
    <xf numFmtId="0" fontId="12" fillId="0" borderId="11" xfId="0" applyFont="1" applyBorder="1" applyAlignment="1">
      <alignment horizontal="center" vertical="top" wrapText="1"/>
    </xf>
    <xf numFmtId="0" fontId="12" fillId="0" borderId="18" xfId="0" applyFont="1" applyBorder="1" applyAlignment="1">
      <alignment horizontal="center" vertical="top" wrapText="1"/>
    </xf>
    <xf numFmtId="0" fontId="8" fillId="0" borderId="1" xfId="0" applyFont="1" applyBorder="1" applyAlignment="1">
      <alignment horizontal="left" vertical="top"/>
    </xf>
    <xf numFmtId="0" fontId="5" fillId="0" borderId="0" xfId="0" applyFont="1" applyAlignment="1">
      <alignment horizontal="left" vertical="top" wrapText="1"/>
    </xf>
    <xf numFmtId="0" fontId="15" fillId="0" borderId="56" xfId="0" applyFont="1" applyBorder="1" applyAlignment="1">
      <alignment horizontal="center" vertical="top" wrapText="1"/>
    </xf>
    <xf numFmtId="0" fontId="16" fillId="0" borderId="1" xfId="0" applyFont="1" applyBorder="1" applyAlignment="1">
      <alignment horizontal="center" vertical="top" wrapText="1"/>
    </xf>
    <xf numFmtId="0" fontId="14" fillId="0" borderId="1" xfId="0" applyFont="1" applyBorder="1" applyAlignment="1">
      <alignment horizontal="center" vertical="top" wrapText="1"/>
    </xf>
    <xf numFmtId="0" fontId="6" fillId="0" borderId="3" xfId="0" applyFont="1" applyBorder="1" applyAlignment="1">
      <alignment horizontal="center" vertical="top" wrapText="1"/>
    </xf>
    <xf numFmtId="0" fontId="6" fillId="0" borderId="11" xfId="0" applyFont="1" applyBorder="1" applyAlignment="1">
      <alignment horizontal="center" vertical="top" wrapText="1"/>
    </xf>
    <xf numFmtId="0" fontId="6" fillId="0" borderId="18" xfId="0" applyFont="1" applyBorder="1" applyAlignment="1">
      <alignment horizontal="center" vertical="top" wrapText="1"/>
    </xf>
    <xf numFmtId="0" fontId="8" fillId="0" borderId="17" xfId="0" applyFont="1" applyBorder="1" applyAlignment="1">
      <alignment horizontal="left" vertical="top" wrapText="1"/>
    </xf>
    <xf numFmtId="0" fontId="8" fillId="0" borderId="30"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0" fontId="6" fillId="0" borderId="18" xfId="0" applyFont="1" applyBorder="1" applyAlignment="1">
      <alignment horizontal="center" vertical="center" wrapText="1"/>
    </xf>
    <xf numFmtId="0" fontId="16" fillId="0" borderId="8" xfId="0" applyFont="1" applyBorder="1" applyAlignment="1">
      <alignment horizontal="center" vertical="top" wrapText="1"/>
    </xf>
    <xf numFmtId="0" fontId="16" fillId="0" borderId="9" xfId="0" applyFont="1" applyBorder="1" applyAlignment="1">
      <alignment horizontal="center" vertical="top" wrapText="1"/>
    </xf>
    <xf numFmtId="0" fontId="6" fillId="0" borderId="63" xfId="0" applyFont="1" applyBorder="1" applyAlignment="1">
      <alignment horizontal="center" vertical="top" wrapText="1"/>
    </xf>
    <xf numFmtId="0" fontId="7" fillId="0" borderId="1" xfId="0" applyFont="1" applyBorder="1" applyAlignment="1">
      <alignment horizontal="left" vertical="top" wrapText="1"/>
    </xf>
    <xf numFmtId="0" fontId="5" fillId="0" borderId="11" xfId="0" applyFont="1" applyBorder="1" applyAlignment="1">
      <alignment horizontal="left" vertical="center" wrapText="1"/>
    </xf>
    <xf numFmtId="0" fontId="4" fillId="0" borderId="25" xfId="0" applyFont="1" applyBorder="1" applyAlignment="1">
      <alignment horizontal="left" vertical="top" wrapText="1"/>
    </xf>
    <xf numFmtId="0" fontId="8" fillId="0" borderId="18" xfId="0" applyFont="1" applyBorder="1" applyAlignment="1">
      <alignment horizontal="left" vertical="top" wrapText="1"/>
    </xf>
    <xf numFmtId="2" fontId="5" fillId="0" borderId="29" xfId="0" applyNumberFormat="1" applyFont="1" applyBorder="1" applyAlignment="1">
      <alignment horizontal="center" vertical="top" wrapText="1"/>
    </xf>
    <xf numFmtId="2" fontId="5" fillId="0" borderId="17" xfId="0" applyNumberFormat="1" applyFont="1" applyBorder="1" applyAlignment="1">
      <alignment horizontal="center" vertical="top" wrapText="1"/>
    </xf>
    <xf numFmtId="2" fontId="5" fillId="0" borderId="30" xfId="0" applyNumberFormat="1" applyFont="1" applyBorder="1" applyAlignment="1">
      <alignment horizontal="center" vertical="top" wrapText="1"/>
    </xf>
    <xf numFmtId="164" fontId="4" fillId="0" borderId="3" xfId="2" applyFont="1" applyFill="1" applyBorder="1" applyAlignment="1">
      <alignment horizontal="left" vertical="top" wrapText="1"/>
    </xf>
    <xf numFmtId="164" fontId="4" fillId="0" borderId="18" xfId="2"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164" fontId="10" fillId="0" borderId="1" xfId="2" applyFont="1" applyFill="1" applyBorder="1" applyAlignment="1">
      <alignment horizontal="center" vertical="top" wrapText="1"/>
    </xf>
    <xf numFmtId="0" fontId="5" fillId="0" borderId="1" xfId="0" applyFont="1" applyBorder="1" applyAlignment="1">
      <alignment horizontal="left" vertical="center" wrapText="1"/>
    </xf>
    <xf numFmtId="0" fontId="8" fillId="0" borderId="29" xfId="0" applyFont="1" applyBorder="1" applyAlignment="1">
      <alignment horizontal="left" vertical="top" wrapText="1"/>
    </xf>
    <xf numFmtId="0" fontId="12" fillId="0" borderId="6" xfId="0" applyFont="1" applyBorder="1" applyAlignment="1">
      <alignment horizontal="center" vertical="center" wrapText="1"/>
    </xf>
    <xf numFmtId="0" fontId="12" fillId="0" borderId="25" xfId="0" applyFont="1" applyBorder="1" applyAlignment="1">
      <alignment horizontal="center" vertical="center" wrapText="1"/>
    </xf>
    <xf numFmtId="0" fontId="8" fillId="0" borderId="50" xfId="0" applyFont="1" applyBorder="1" applyAlignment="1">
      <alignment horizontal="left" vertical="top" wrapText="1"/>
    </xf>
    <xf numFmtId="0" fontId="4" fillId="0" borderId="45" xfId="0" applyFont="1" applyBorder="1" applyAlignment="1">
      <alignment horizontal="left" vertical="top" wrapText="1"/>
    </xf>
    <xf numFmtId="0" fontId="4" fillId="0" borderId="0" xfId="0" applyFont="1" applyAlignment="1">
      <alignment horizontal="left" vertical="top" wrapText="1"/>
    </xf>
    <xf numFmtId="10" fontId="6" fillId="0" borderId="26" xfId="0" applyNumberFormat="1" applyFont="1" applyBorder="1" applyAlignment="1">
      <alignment horizontal="center" vertical="top" wrapText="1"/>
    </xf>
    <xf numFmtId="10" fontId="6" fillId="0" borderId="27" xfId="0" applyNumberFormat="1" applyFont="1" applyBorder="1" applyAlignment="1">
      <alignment horizontal="center" vertical="top" wrapText="1"/>
    </xf>
    <xf numFmtId="10" fontId="6" fillId="0" borderId="28" xfId="0" applyNumberFormat="1" applyFont="1" applyBorder="1" applyAlignment="1">
      <alignment horizontal="center" vertical="top" wrapText="1"/>
    </xf>
    <xf numFmtId="10" fontId="6" fillId="0" borderId="61" xfId="0" applyNumberFormat="1" applyFont="1" applyBorder="1" applyAlignment="1">
      <alignment horizontal="center" vertical="top" wrapText="1"/>
    </xf>
    <xf numFmtId="10" fontId="6" fillId="0" borderId="24" xfId="0" applyNumberFormat="1" applyFont="1" applyBorder="1" applyAlignment="1">
      <alignment horizontal="center" vertical="top" wrapText="1"/>
    </xf>
    <xf numFmtId="10" fontId="6" fillId="0" borderId="62" xfId="0" applyNumberFormat="1" applyFont="1" applyBorder="1" applyAlignment="1">
      <alignment horizontal="center" vertical="top" wrapText="1"/>
    </xf>
    <xf numFmtId="0" fontId="0" fillId="0" borderId="1" xfId="0" applyBorder="1" applyAlignment="1">
      <alignment horizontal="center"/>
    </xf>
    <xf numFmtId="0" fontId="6" fillId="2" borderId="1" xfId="0" applyFont="1" applyFill="1" applyBorder="1" applyAlignment="1">
      <alignment horizontal="left" vertical="top" wrapText="1"/>
    </xf>
    <xf numFmtId="2" fontId="5" fillId="2" borderId="4" xfId="0" applyNumberFormat="1" applyFont="1" applyFill="1" applyBorder="1" applyAlignment="1">
      <alignment horizontal="center" wrapText="1"/>
    </xf>
    <xf numFmtId="2" fontId="5" fillId="2" borderId="5" xfId="0" applyNumberFormat="1" applyFont="1" applyFill="1" applyBorder="1" applyAlignment="1">
      <alignment horizontal="center" wrapText="1"/>
    </xf>
    <xf numFmtId="2" fontId="5" fillId="2" borderId="25" xfId="0" applyNumberFormat="1" applyFont="1" applyFill="1" applyBorder="1" applyAlignment="1">
      <alignment horizontal="center" wrapText="1"/>
    </xf>
    <xf numFmtId="2" fontId="5" fillId="2" borderId="29" xfId="0" applyNumberFormat="1" applyFont="1" applyFill="1" applyBorder="1" applyAlignment="1">
      <alignment horizontal="center" wrapText="1"/>
    </xf>
    <xf numFmtId="2" fontId="5" fillId="2" borderId="17" xfId="0" applyNumberFormat="1" applyFont="1" applyFill="1" applyBorder="1" applyAlignment="1">
      <alignment horizontal="center" wrapText="1"/>
    </xf>
    <xf numFmtId="2" fontId="5" fillId="2" borderId="30" xfId="0" applyNumberFormat="1" applyFont="1" applyFill="1" applyBorder="1" applyAlignment="1">
      <alignment horizontal="center" wrapText="1"/>
    </xf>
    <xf numFmtId="0" fontId="0" fillId="0" borderId="0" xfId="0" applyAlignment="1">
      <alignment horizontal="center"/>
    </xf>
    <xf numFmtId="0" fontId="6" fillId="0" borderId="47" xfId="0" applyFont="1" applyBorder="1" applyAlignment="1">
      <alignment horizontal="center" vertical="center"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6" xfId="0" applyFont="1" applyBorder="1" applyAlignment="1">
      <alignment horizontal="center" vertical="top" wrapText="1"/>
    </xf>
    <xf numFmtId="164" fontId="6" fillId="0" borderId="3" xfId="2" applyFont="1" applyFill="1" applyBorder="1" applyAlignment="1">
      <alignment horizontal="center" vertical="top" wrapText="1"/>
    </xf>
    <xf numFmtId="164" fontId="6" fillId="0" borderId="11" xfId="2" applyFont="1" applyFill="1" applyBorder="1" applyAlignment="1">
      <alignment horizontal="center" vertical="top" wrapText="1"/>
    </xf>
    <xf numFmtId="164" fontId="6" fillId="0" borderId="18" xfId="2" applyFont="1" applyFill="1" applyBorder="1" applyAlignment="1">
      <alignment horizontal="center" vertical="top"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25" xfId="0" applyFont="1" applyBorder="1" applyAlignment="1">
      <alignment horizontal="left" vertical="top" wrapText="1"/>
    </xf>
    <xf numFmtId="0" fontId="15" fillId="0" borderId="0" xfId="0" applyFont="1" applyAlignment="1">
      <alignment horizontal="left" vertical="top" wrapText="1"/>
    </xf>
    <xf numFmtId="0" fontId="15" fillId="0" borderId="34" xfId="0" applyFont="1" applyBorder="1" applyAlignment="1">
      <alignment horizontal="left" vertical="top" wrapText="1"/>
    </xf>
    <xf numFmtId="0" fontId="7" fillId="0" borderId="46" xfId="0" applyFont="1" applyBorder="1" applyAlignment="1">
      <alignment horizontal="left" vertical="top" wrapText="1"/>
    </xf>
    <xf numFmtId="0" fontId="7" fillId="0" borderId="0" xfId="0" applyFont="1" applyAlignment="1">
      <alignment horizontal="left" vertical="top" wrapText="1"/>
    </xf>
    <xf numFmtId="0" fontId="7" fillId="0" borderId="34" xfId="0" applyFont="1" applyBorder="1" applyAlignment="1">
      <alignment horizontal="left" vertical="top" wrapText="1"/>
    </xf>
    <xf numFmtId="0" fontId="12" fillId="0" borderId="4" xfId="0" applyFont="1" applyBorder="1" applyAlignment="1">
      <alignment horizontal="center" vertical="top" wrapText="1"/>
    </xf>
    <xf numFmtId="0" fontId="12" fillId="0" borderId="45" xfId="0" applyFont="1" applyBorder="1" applyAlignment="1">
      <alignment horizontal="center" vertical="top" wrapText="1"/>
    </xf>
    <xf numFmtId="0" fontId="6" fillId="0" borderId="48" xfId="0" applyFont="1" applyBorder="1" applyAlignment="1">
      <alignment horizontal="center" vertical="top" wrapText="1"/>
    </xf>
    <xf numFmtId="0" fontId="6" fillId="0" borderId="23" xfId="0" applyFont="1" applyBorder="1" applyAlignment="1">
      <alignment horizontal="center" vertical="top" wrapText="1"/>
    </xf>
    <xf numFmtId="0" fontId="6" fillId="0" borderId="49"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15" fillId="0" borderId="25" xfId="0" applyFont="1" applyBorder="1" applyAlignment="1">
      <alignment horizontal="center" vertical="top" wrapText="1"/>
    </xf>
    <xf numFmtId="0" fontId="7" fillId="0" borderId="46" xfId="0" applyFont="1" applyBorder="1" applyAlignment="1">
      <alignment horizontal="center" vertical="top" wrapText="1"/>
    </xf>
    <xf numFmtId="0" fontId="7" fillId="0" borderId="0" xfId="0" applyFont="1" applyAlignment="1">
      <alignment horizontal="center" vertical="top" wrapText="1"/>
    </xf>
    <xf numFmtId="0" fontId="7" fillId="0" borderId="34"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25" xfId="0" applyFont="1" applyBorder="1" applyAlignment="1">
      <alignment horizontal="center" vertical="top" wrapText="1"/>
    </xf>
    <xf numFmtId="2" fontId="5" fillId="0" borderId="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25" xfId="0" applyNumberFormat="1" applyFont="1" applyBorder="1" applyAlignment="1">
      <alignment horizontal="center" vertical="center" wrapText="1"/>
    </xf>
    <xf numFmtId="2" fontId="5" fillId="0" borderId="29"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30" xfId="0" applyNumberFormat="1" applyFont="1" applyBorder="1" applyAlignment="1">
      <alignment horizontal="center" vertical="center" wrapText="1"/>
    </xf>
    <xf numFmtId="168" fontId="6" fillId="0" borderId="7" xfId="1" applyNumberFormat="1" applyFont="1" applyFill="1" applyBorder="1" applyAlignment="1">
      <alignment horizontal="center" vertical="top" wrapText="1"/>
    </xf>
    <xf numFmtId="0" fontId="3" fillId="0" borderId="0" xfId="0" applyFont="1" applyAlignment="1">
      <alignment horizontal="center" vertical="top" wrapText="1"/>
    </xf>
    <xf numFmtId="10" fontId="6" fillId="0" borderId="48" xfId="0" applyNumberFormat="1" applyFont="1" applyBorder="1" applyAlignment="1">
      <alignment horizontal="center" vertical="top" wrapText="1"/>
    </xf>
    <xf numFmtId="0" fontId="7" fillId="0" borderId="59" xfId="0" applyFont="1" applyBorder="1" applyAlignment="1">
      <alignment horizontal="left" vertical="top" wrapText="1"/>
    </xf>
    <xf numFmtId="0" fontId="7" fillId="0" borderId="9" xfId="0" applyFont="1" applyBorder="1" applyAlignment="1">
      <alignment horizontal="left" vertical="top" wrapText="1"/>
    </xf>
    <xf numFmtId="0" fontId="7" fillId="0" borderId="60" xfId="0" applyFont="1" applyBorder="1" applyAlignment="1">
      <alignment horizontal="left" vertical="top" wrapText="1"/>
    </xf>
    <xf numFmtId="0" fontId="16" fillId="0" borderId="6" xfId="0" applyFont="1" applyBorder="1" applyAlignment="1">
      <alignment horizontal="center" vertical="top" wrapText="1"/>
    </xf>
    <xf numFmtId="0" fontId="15" fillId="0" borderId="1" xfId="0" applyFont="1" applyBorder="1" applyAlignment="1">
      <alignment horizontal="center" vertical="top" wrapText="1"/>
    </xf>
    <xf numFmtId="0" fontId="7" fillId="0" borderId="1" xfId="0" applyFont="1" applyBorder="1" applyAlignment="1">
      <alignment horizontal="center" vertical="top" wrapText="1"/>
    </xf>
    <xf numFmtId="0" fontId="5" fillId="0" borderId="3" xfId="0" applyFont="1" applyBorder="1" applyAlignment="1">
      <alignment horizontal="center" vertical="top" wrapText="1"/>
    </xf>
    <xf numFmtId="0" fontId="5" fillId="0" borderId="11" xfId="0" applyFont="1" applyBorder="1" applyAlignment="1">
      <alignment horizontal="center" vertical="top" wrapText="1"/>
    </xf>
    <xf numFmtId="2" fontId="5" fillId="0" borderId="25" xfId="0" applyNumberFormat="1" applyFont="1" applyBorder="1" applyAlignment="1">
      <alignment horizontal="center" vertical="top" wrapText="1"/>
    </xf>
    <xf numFmtId="0" fontId="6" fillId="0" borderId="45" xfId="0" applyFont="1" applyBorder="1" applyAlignment="1">
      <alignment horizontal="center" vertical="top" wrapText="1"/>
    </xf>
    <xf numFmtId="0" fontId="6" fillId="0" borderId="0" xfId="0" applyFont="1" applyAlignment="1">
      <alignment horizontal="center" vertical="top" wrapText="1"/>
    </xf>
    <xf numFmtId="2" fontId="5" fillId="0" borderId="4" xfId="0" applyNumberFormat="1" applyFont="1" applyBorder="1" applyAlignment="1">
      <alignment horizontal="left" vertical="top" wrapText="1"/>
    </xf>
    <xf numFmtId="2" fontId="5" fillId="0" borderId="5" xfId="0" applyNumberFormat="1" applyFont="1" applyBorder="1" applyAlignment="1">
      <alignment horizontal="left" vertical="top" wrapText="1"/>
    </xf>
    <xf numFmtId="2" fontId="5" fillId="0" borderId="25" xfId="0" applyNumberFormat="1" applyFont="1" applyBorder="1" applyAlignment="1">
      <alignment horizontal="left" vertical="top" wrapText="1"/>
    </xf>
    <xf numFmtId="2" fontId="5" fillId="0" borderId="29" xfId="0" applyNumberFormat="1" applyFont="1" applyBorder="1" applyAlignment="1">
      <alignment horizontal="left" vertical="top" wrapText="1"/>
    </xf>
    <xf numFmtId="2" fontId="5" fillId="0" borderId="17" xfId="0" applyNumberFormat="1" applyFont="1" applyBorder="1" applyAlignment="1">
      <alignment horizontal="left" vertical="top" wrapText="1"/>
    </xf>
    <xf numFmtId="2" fontId="5" fillId="0" borderId="30" xfId="0" applyNumberFormat="1" applyFont="1" applyBorder="1" applyAlignment="1">
      <alignment horizontal="left" vertical="top" wrapText="1"/>
    </xf>
    <xf numFmtId="0" fontId="6" fillId="0" borderId="3" xfId="0" applyFont="1" applyBorder="1" applyAlignment="1">
      <alignment vertical="center" wrapText="1"/>
    </xf>
    <xf numFmtId="0" fontId="6" fillId="0" borderId="11" xfId="0" applyFont="1" applyBorder="1" applyAlignment="1">
      <alignment vertical="center" wrapText="1"/>
    </xf>
    <xf numFmtId="0" fontId="6" fillId="0" borderId="18" xfId="0" applyFont="1" applyBorder="1" applyAlignment="1">
      <alignment vertical="center" wrapText="1"/>
    </xf>
    <xf numFmtId="2" fontId="5" fillId="0" borderId="1" xfId="0" applyNumberFormat="1" applyFont="1" applyBorder="1" applyAlignment="1">
      <alignment horizontal="center" vertical="center"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6" xfId="0" applyFont="1" applyBorder="1" applyAlignment="1">
      <alignment horizontal="center" vertical="top" wrapText="1"/>
    </xf>
    <xf numFmtId="0" fontId="14" fillId="0" borderId="6" xfId="0" applyFont="1" applyBorder="1" applyAlignment="1">
      <alignment horizontal="left" vertical="top" wrapText="1"/>
    </xf>
    <xf numFmtId="0" fontId="8" fillId="0" borderId="48" xfId="0" applyFont="1" applyBorder="1" applyAlignment="1">
      <alignment horizontal="left" vertical="top" wrapText="1"/>
    </xf>
    <xf numFmtId="0" fontId="8" fillId="0" borderId="23" xfId="0" applyFont="1" applyBorder="1" applyAlignment="1">
      <alignment horizontal="left" vertical="top" wrapText="1"/>
    </xf>
    <xf numFmtId="0" fontId="8" fillId="0" borderId="49" xfId="0" applyFont="1" applyBorder="1" applyAlignment="1">
      <alignment horizontal="left" vertical="top" wrapText="1"/>
    </xf>
    <xf numFmtId="0" fontId="12" fillId="0" borderId="29" xfId="0" applyFont="1" applyBorder="1" applyAlignment="1">
      <alignment horizontal="center" vertical="top" wrapText="1"/>
    </xf>
    <xf numFmtId="2" fontId="5" fillId="2" borderId="4"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2" fontId="5" fillId="2" borderId="25"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2" fontId="5" fillId="2" borderId="17" xfId="0" applyNumberFormat="1" applyFont="1" applyFill="1" applyBorder="1" applyAlignment="1">
      <alignment horizontal="center" vertical="center" wrapText="1"/>
    </xf>
    <xf numFmtId="2" fontId="5" fillId="2" borderId="30" xfId="0" applyNumberFormat="1" applyFont="1" applyFill="1" applyBorder="1" applyAlignment="1">
      <alignment horizontal="center" vertical="center" wrapText="1"/>
    </xf>
    <xf numFmtId="169" fontId="6" fillId="0" borderId="7" xfId="0" applyNumberFormat="1" applyFont="1" applyBorder="1" applyAlignment="1">
      <alignment horizontal="center" vertical="top" wrapText="1"/>
    </xf>
    <xf numFmtId="0" fontId="5" fillId="0" borderId="3" xfId="0" applyFont="1" applyBorder="1" applyAlignment="1">
      <alignment horizontal="left" vertical="top" wrapText="1"/>
    </xf>
    <xf numFmtId="0" fontId="5" fillId="0" borderId="11" xfId="0" applyFont="1" applyBorder="1" applyAlignment="1">
      <alignment horizontal="left" vertical="top" wrapText="1"/>
    </xf>
    <xf numFmtId="0" fontId="7" fillId="2" borderId="7" xfId="0" applyFont="1" applyFill="1" applyBorder="1" applyAlignment="1">
      <alignment horizontal="left" vertical="top" wrapText="1"/>
    </xf>
    <xf numFmtId="10" fontId="5" fillId="0" borderId="1" xfId="0" applyNumberFormat="1" applyFont="1" applyBorder="1" applyAlignment="1">
      <alignment horizontal="center" vertical="top" wrapText="1"/>
    </xf>
  </cellXfs>
  <cellStyles count="4">
    <cellStyle name="Comma" xfId="2" builtinId="3"/>
    <cellStyle name="Comma 2" xfId="3" xr:uid="{00000000-0005-0000-0000-00000100000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8.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1"/>
  <sheetViews>
    <sheetView topLeftCell="A79" workbookViewId="0">
      <selection activeCell="B96" sqref="B96:G96"/>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89</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91</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92</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93</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21</v>
      </c>
      <c r="D28" s="18" t="s">
        <v>22</v>
      </c>
      <c r="E28" s="18" t="s">
        <v>23</v>
      </c>
      <c r="F28" s="15"/>
    </row>
    <row r="29" spans="1:14" ht="12.7" customHeight="1" x14ac:dyDescent="0.4">
      <c r="A29" s="9"/>
      <c r="B29" s="19" t="s">
        <v>24</v>
      </c>
      <c r="C29" s="20">
        <v>4198.63</v>
      </c>
      <c r="D29" s="21">
        <v>4473.03</v>
      </c>
      <c r="E29" s="21">
        <v>5388.68</v>
      </c>
      <c r="F29" s="15"/>
    </row>
    <row r="30" spans="1:14" x14ac:dyDescent="0.4">
      <c r="A30" s="9"/>
      <c r="B30" s="19" t="s">
        <v>25</v>
      </c>
      <c r="C30" s="20">
        <v>1404.64</v>
      </c>
      <c r="D30" s="21">
        <v>1184.9100000000001</v>
      </c>
      <c r="E30" s="21">
        <v>2547</v>
      </c>
      <c r="F30" s="15"/>
    </row>
    <row r="31" spans="1:14" x14ac:dyDescent="0.4">
      <c r="A31" s="9"/>
      <c r="B31" s="19" t="s">
        <v>26</v>
      </c>
      <c r="C31" s="20">
        <v>177.86</v>
      </c>
      <c r="D31" s="21">
        <v>177.86</v>
      </c>
      <c r="E31" s="21">
        <v>177.86</v>
      </c>
      <c r="F31" s="15"/>
    </row>
    <row r="32" spans="1:14" x14ac:dyDescent="0.4">
      <c r="A32" s="9"/>
      <c r="B32" s="19" t="s">
        <v>27</v>
      </c>
      <c r="C32" s="20">
        <v>7057.94</v>
      </c>
      <c r="D32" s="21">
        <v>8267.6</v>
      </c>
      <c r="E32" s="21">
        <v>10214.81</v>
      </c>
      <c r="F32" s="15"/>
    </row>
    <row r="33" spans="1:10" x14ac:dyDescent="0.4">
      <c r="A33" s="9"/>
      <c r="B33" s="363" t="s">
        <v>95</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96</v>
      </c>
      <c r="D43" s="374"/>
      <c r="E43" s="375"/>
      <c r="F43" s="13"/>
    </row>
    <row r="44" spans="1:10" x14ac:dyDescent="0.4">
      <c r="A44" s="9"/>
      <c r="B44" s="17" t="s">
        <v>31</v>
      </c>
      <c r="C44" s="373" t="s">
        <v>79</v>
      </c>
      <c r="D44" s="374"/>
      <c r="E44" s="375"/>
      <c r="F44" s="13"/>
    </row>
    <row r="45" spans="1:10" x14ac:dyDescent="0.4">
      <c r="A45" s="9"/>
      <c r="B45" s="17" t="s">
        <v>32</v>
      </c>
      <c r="C45" s="373" t="s">
        <v>79</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40</v>
      </c>
    </row>
    <row r="50" spans="1:14" x14ac:dyDescent="0.4">
      <c r="A50" s="29"/>
      <c r="B50" s="377" t="s">
        <v>97</v>
      </c>
      <c r="C50" s="378"/>
      <c r="D50" s="378"/>
      <c r="E50" s="379"/>
    </row>
    <row r="51" spans="1:14" x14ac:dyDescent="0.4">
      <c r="A51" s="31"/>
      <c r="B51" s="380" t="s">
        <v>98</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97</v>
      </c>
      <c r="D54" s="386"/>
      <c r="E54" s="387"/>
      <c r="K54" s="1"/>
    </row>
    <row r="55" spans="1:14" x14ac:dyDescent="0.4">
      <c r="A55" s="29"/>
      <c r="B55" s="384"/>
      <c r="C55" s="388"/>
      <c r="D55" s="389"/>
      <c r="E55" s="390"/>
      <c r="K55" s="1"/>
    </row>
    <row r="56" spans="1:14" x14ac:dyDescent="0.4">
      <c r="A56" s="24"/>
      <c r="B56" s="33" t="s">
        <v>44</v>
      </c>
      <c r="C56" s="391" t="s">
        <v>83</v>
      </c>
      <c r="D56" s="391"/>
      <c r="E56" s="391"/>
    </row>
    <row r="57" spans="1:14" x14ac:dyDescent="0.4">
      <c r="A57" s="29"/>
      <c r="B57" s="33" t="s">
        <v>45</v>
      </c>
      <c r="C57" s="391" t="s">
        <v>46</v>
      </c>
      <c r="D57" s="391"/>
      <c r="E57" s="391"/>
      <c r="K57" s="34"/>
    </row>
    <row r="58" spans="1:14" x14ac:dyDescent="0.4">
      <c r="A58" s="29"/>
      <c r="B58" s="380" t="s">
        <v>98</v>
      </c>
      <c r="C58" s="381"/>
      <c r="D58" s="381"/>
      <c r="E58" s="382"/>
      <c r="K58" s="34"/>
    </row>
    <row r="59" spans="1:14" s="63" customFormat="1" x14ac:dyDescent="0.35">
      <c r="A59" s="35" t="s">
        <v>47</v>
      </c>
      <c r="B59" s="392" t="s">
        <v>48</v>
      </c>
      <c r="C59" s="392"/>
      <c r="D59" s="392"/>
      <c r="E59" s="392"/>
    </row>
    <row r="60" spans="1:14" x14ac:dyDescent="0.4">
      <c r="A60" s="36"/>
      <c r="B60" s="2"/>
      <c r="C60" s="37"/>
      <c r="D60" s="38"/>
      <c r="E60" s="39"/>
      <c r="F60" s="34"/>
      <c r="G60" s="34"/>
      <c r="H60" s="34"/>
      <c r="I60" s="34"/>
      <c r="J60" s="34"/>
      <c r="K60" s="34"/>
      <c r="L60" s="34"/>
    </row>
    <row r="61" spans="1:14" x14ac:dyDescent="0.4">
      <c r="A61" s="40"/>
      <c r="B61" s="41"/>
      <c r="C61" s="42"/>
      <c r="D61" s="42"/>
      <c r="E61" s="42"/>
      <c r="F61" s="42"/>
    </row>
    <row r="62" spans="1:14" x14ac:dyDescent="0.4">
      <c r="A62" s="9">
        <v>11</v>
      </c>
      <c r="B62" s="3" t="s">
        <v>49</v>
      </c>
      <c r="C62" s="393" t="s">
        <v>50</v>
      </c>
      <c r="D62" s="393"/>
      <c r="E62" s="393"/>
      <c r="F62" s="11"/>
      <c r="G62" s="11"/>
      <c r="H62" s="43"/>
      <c r="I62" s="11"/>
      <c r="J62" s="11"/>
    </row>
    <row r="63" spans="1:14" x14ac:dyDescent="0.4">
      <c r="A63" s="9"/>
      <c r="B63" s="15"/>
      <c r="C63" s="15"/>
      <c r="D63" s="15"/>
      <c r="E63" s="15"/>
      <c r="F63" s="15"/>
      <c r="G63" s="15"/>
      <c r="H63" s="44"/>
      <c r="I63" s="44"/>
      <c r="J63" s="15"/>
    </row>
    <row r="64" spans="1:14" x14ac:dyDescent="0.4">
      <c r="A64" s="9">
        <v>12</v>
      </c>
      <c r="B64" s="11" t="s">
        <v>51</v>
      </c>
      <c r="C64" s="11"/>
      <c r="D64" s="11"/>
      <c r="E64" s="11"/>
      <c r="F64" s="11"/>
      <c r="G64" s="11"/>
      <c r="H64" s="11"/>
      <c r="I64" s="11"/>
      <c r="J64" s="11"/>
      <c r="K64" s="11"/>
      <c r="L64" s="11"/>
      <c r="M64" s="11"/>
      <c r="N64" s="11"/>
    </row>
    <row r="65" spans="1:14" x14ac:dyDescent="0.4">
      <c r="A65" s="9"/>
      <c r="B65" s="11"/>
      <c r="C65" s="11"/>
      <c r="D65" s="11"/>
      <c r="E65" s="11"/>
      <c r="F65" s="11"/>
      <c r="G65" s="11"/>
      <c r="H65" s="11"/>
      <c r="I65" s="11"/>
      <c r="J65" s="11"/>
      <c r="K65" s="11"/>
      <c r="L65" s="11"/>
      <c r="M65" s="11"/>
      <c r="N65" s="11"/>
    </row>
    <row r="66" spans="1:14" x14ac:dyDescent="0.4">
      <c r="A66" s="9"/>
      <c r="B66" s="17" t="s">
        <v>52</v>
      </c>
      <c r="C66" s="19" t="s">
        <v>99</v>
      </c>
      <c r="D66" s="15"/>
      <c r="E66" s="15"/>
      <c r="F66" s="44"/>
      <c r="G66" s="44"/>
      <c r="H66" s="15"/>
      <c r="I66" s="15"/>
      <c r="J66" s="15"/>
      <c r="K66" s="15"/>
      <c r="L66" s="15"/>
      <c r="M66" s="15"/>
      <c r="N66" s="15"/>
    </row>
    <row r="67" spans="1:14" x14ac:dyDescent="0.4">
      <c r="A67" s="9"/>
      <c r="B67" s="15"/>
      <c r="C67" s="15"/>
      <c r="D67" s="15"/>
      <c r="E67" s="15"/>
      <c r="F67" s="15"/>
      <c r="G67" s="15"/>
      <c r="H67" s="15"/>
      <c r="I67" s="15"/>
      <c r="J67" s="15"/>
      <c r="K67" s="15"/>
      <c r="L67" s="15"/>
      <c r="M67" s="15"/>
      <c r="N67" s="15"/>
    </row>
    <row r="68" spans="1:14" x14ac:dyDescent="0.4">
      <c r="A68" s="9"/>
      <c r="B68" s="365" t="s">
        <v>53</v>
      </c>
      <c r="C68" s="366" t="s">
        <v>100</v>
      </c>
      <c r="D68" s="366" t="s">
        <v>101</v>
      </c>
      <c r="E68" s="403" t="s">
        <v>102</v>
      </c>
      <c r="F68" s="395" t="s">
        <v>54</v>
      </c>
      <c r="G68" s="396"/>
      <c r="H68" s="397"/>
      <c r="I68" s="398" t="s">
        <v>55</v>
      </c>
      <c r="J68" s="398"/>
      <c r="K68" s="398"/>
      <c r="L68" s="398" t="s">
        <v>56</v>
      </c>
      <c r="M68" s="398"/>
      <c r="N68" s="398"/>
    </row>
    <row r="69" spans="1:14" ht="38.450000000000003" x14ac:dyDescent="0.4">
      <c r="A69" s="2"/>
      <c r="B69" s="365"/>
      <c r="C69" s="402"/>
      <c r="D69" s="402"/>
      <c r="E69" s="404"/>
      <c r="F69" s="17" t="s">
        <v>57</v>
      </c>
      <c r="G69" s="17" t="s">
        <v>58</v>
      </c>
      <c r="H69" s="17" t="s">
        <v>59</v>
      </c>
      <c r="I69" s="17" t="s">
        <v>60</v>
      </c>
      <c r="J69" s="17" t="s">
        <v>58</v>
      </c>
      <c r="K69" s="17" t="s">
        <v>59</v>
      </c>
      <c r="L69" s="17" t="s">
        <v>60</v>
      </c>
      <c r="M69" s="17" t="s">
        <v>58</v>
      </c>
      <c r="N69" s="17" t="s">
        <v>59</v>
      </c>
    </row>
    <row r="70" spans="1:14" x14ac:dyDescent="0.4">
      <c r="A70" s="2"/>
      <c r="B70" s="17" t="s">
        <v>103</v>
      </c>
      <c r="C70" s="46">
        <v>333.05</v>
      </c>
      <c r="D70" s="46">
        <v>326</v>
      </c>
      <c r="E70" s="46">
        <v>325</v>
      </c>
      <c r="F70" s="46">
        <v>345</v>
      </c>
      <c r="G70" s="46">
        <v>375</v>
      </c>
      <c r="H70" s="46">
        <v>310</v>
      </c>
      <c r="I70" s="45">
        <v>400</v>
      </c>
      <c r="J70" s="45">
        <v>525</v>
      </c>
      <c r="K70" s="45">
        <v>320</v>
      </c>
      <c r="L70" s="45">
        <v>479</v>
      </c>
      <c r="M70" s="45">
        <v>816</v>
      </c>
      <c r="N70" s="45">
        <v>382</v>
      </c>
    </row>
    <row r="71" spans="1:14" ht="25.65" x14ac:dyDescent="0.4">
      <c r="A71" s="2"/>
      <c r="B71" s="17" t="s">
        <v>104</v>
      </c>
      <c r="C71" s="72">
        <v>8355.85</v>
      </c>
      <c r="D71" s="72">
        <v>7789.3</v>
      </c>
      <c r="E71" s="73">
        <v>7783.35</v>
      </c>
      <c r="F71" s="74">
        <v>7738.4</v>
      </c>
      <c r="G71" s="73">
        <v>8844.7999999999993</v>
      </c>
      <c r="H71" s="75">
        <v>6825.8</v>
      </c>
      <c r="I71" s="45">
        <v>9173.75</v>
      </c>
      <c r="J71" s="45">
        <v>9218.4</v>
      </c>
      <c r="K71" s="45">
        <v>7526.7</v>
      </c>
      <c r="L71" s="46">
        <v>10113.700000000001</v>
      </c>
      <c r="M71" s="46">
        <v>11171.55</v>
      </c>
      <c r="N71" s="48">
        <v>11075.95</v>
      </c>
    </row>
    <row r="72" spans="1:14" x14ac:dyDescent="0.4">
      <c r="A72" s="2"/>
      <c r="B72" s="399" t="s">
        <v>105</v>
      </c>
      <c r="C72" s="400"/>
      <c r="D72" s="400"/>
      <c r="E72" s="400"/>
      <c r="F72" s="400"/>
      <c r="G72" s="400"/>
      <c r="H72" s="400"/>
      <c r="I72" s="399"/>
      <c r="J72" s="399"/>
      <c r="K72" s="399"/>
      <c r="L72" s="399"/>
      <c r="M72" s="399"/>
      <c r="N72" s="399"/>
    </row>
    <row r="73" spans="1:14" x14ac:dyDescent="0.4">
      <c r="A73" s="2"/>
      <c r="B73" s="401" t="s">
        <v>94</v>
      </c>
      <c r="C73" s="401"/>
      <c r="D73" s="401"/>
      <c r="E73" s="401"/>
      <c r="F73" s="401"/>
      <c r="G73" s="401"/>
      <c r="H73" s="401"/>
      <c r="I73" s="401"/>
      <c r="J73" s="401"/>
      <c r="K73" s="401"/>
      <c r="L73" s="401"/>
      <c r="M73" s="401"/>
      <c r="N73" s="401"/>
    </row>
    <row r="74" spans="1:14" x14ac:dyDescent="0.4">
      <c r="A74" s="2"/>
      <c r="B74" s="359" t="s">
        <v>63</v>
      </c>
      <c r="C74" s="359"/>
      <c r="D74" s="359"/>
      <c r="E74" s="359"/>
      <c r="F74" s="359"/>
      <c r="G74" s="359"/>
      <c r="H74" s="359"/>
      <c r="I74" s="359"/>
      <c r="J74" s="359"/>
      <c r="K74" s="359"/>
      <c r="L74" s="359"/>
      <c r="M74" s="359"/>
      <c r="N74" s="359"/>
    </row>
    <row r="75" spans="1:14" s="1" customFormat="1" x14ac:dyDescent="0.4">
      <c r="B75" s="359" t="s">
        <v>64</v>
      </c>
      <c r="C75" s="359"/>
      <c r="D75" s="359"/>
      <c r="E75" s="359"/>
      <c r="F75" s="359"/>
      <c r="G75" s="359"/>
      <c r="H75" s="359"/>
      <c r="I75" s="359"/>
      <c r="J75" s="359"/>
      <c r="K75" s="359"/>
      <c r="L75" s="359"/>
      <c r="M75" s="359"/>
      <c r="N75" s="359"/>
    </row>
    <row r="76" spans="1:14" x14ac:dyDescent="0.4">
      <c r="A76" s="2"/>
      <c r="B76" s="359" t="s">
        <v>106</v>
      </c>
      <c r="C76" s="359"/>
      <c r="D76" s="359"/>
      <c r="E76" s="359"/>
      <c r="F76" s="359"/>
      <c r="G76" s="359"/>
      <c r="H76" s="359"/>
      <c r="I76" s="359"/>
      <c r="J76" s="359"/>
      <c r="K76" s="359"/>
      <c r="L76" s="359"/>
      <c r="M76" s="359"/>
      <c r="N76" s="359"/>
    </row>
    <row r="77" spans="1:14" x14ac:dyDescent="0.4">
      <c r="A77" s="2"/>
      <c r="B77" s="359" t="s">
        <v>65</v>
      </c>
      <c r="C77" s="359"/>
      <c r="D77" s="359"/>
      <c r="E77" s="359"/>
      <c r="F77" s="359"/>
      <c r="G77" s="359"/>
      <c r="H77" s="359"/>
      <c r="I77" s="359"/>
      <c r="J77" s="359"/>
      <c r="K77" s="359"/>
      <c r="L77" s="359"/>
      <c r="M77" s="359"/>
      <c r="N77" s="359"/>
    </row>
    <row r="78" spans="1:14" x14ac:dyDescent="0.4">
      <c r="A78" s="2"/>
      <c r="B78" s="49"/>
      <c r="C78" s="49"/>
      <c r="D78" s="49"/>
      <c r="E78" s="49"/>
      <c r="F78" s="49"/>
      <c r="G78" s="13"/>
      <c r="H78" s="13"/>
      <c r="I78" s="13"/>
      <c r="J78" s="13"/>
      <c r="K78" s="13"/>
      <c r="L78" s="13"/>
      <c r="M78" s="13"/>
      <c r="N78" s="13"/>
    </row>
    <row r="79" spans="1:14" x14ac:dyDescent="0.4">
      <c r="A79" s="9">
        <v>13</v>
      </c>
      <c r="B79" s="405" t="s">
        <v>66</v>
      </c>
      <c r="C79" s="406"/>
      <c r="D79" s="406"/>
      <c r="E79" s="406"/>
      <c r="F79" s="406"/>
      <c r="G79" s="376"/>
      <c r="H79" s="11"/>
      <c r="I79" s="11"/>
      <c r="J79" s="11"/>
      <c r="K79" s="11"/>
      <c r="L79" s="11"/>
      <c r="M79" s="11"/>
      <c r="N79" s="11"/>
    </row>
    <row r="80" spans="1:14" x14ac:dyDescent="0.4">
      <c r="A80" s="9"/>
      <c r="C80" s="15"/>
      <c r="D80" s="15"/>
      <c r="E80" s="15"/>
      <c r="F80" s="15"/>
      <c r="G80" s="15"/>
      <c r="H80" s="15"/>
      <c r="I80" s="15"/>
      <c r="J80" s="15"/>
      <c r="K80" s="15"/>
      <c r="L80" s="15"/>
      <c r="M80" s="15"/>
      <c r="N80" s="15"/>
    </row>
    <row r="81" spans="1:14" ht="102.5" x14ac:dyDescent="0.4">
      <c r="A81" s="2"/>
      <c r="B81" s="50" t="s">
        <v>67</v>
      </c>
      <c r="C81" s="18" t="s">
        <v>68</v>
      </c>
      <c r="D81" s="18" t="s">
        <v>69</v>
      </c>
      <c r="E81" s="18" t="s">
        <v>88</v>
      </c>
      <c r="F81" s="18" t="s">
        <v>71</v>
      </c>
      <c r="G81" s="18" t="s">
        <v>107</v>
      </c>
      <c r="H81" s="13"/>
      <c r="I81" s="13"/>
      <c r="J81" s="13"/>
      <c r="K81" s="13"/>
      <c r="L81" s="13"/>
      <c r="M81" s="13"/>
      <c r="N81" s="13"/>
    </row>
    <row r="82" spans="1:14" ht="12.7" customHeight="1" x14ac:dyDescent="0.35">
      <c r="A82" s="2"/>
      <c r="B82" s="394" t="s">
        <v>72</v>
      </c>
      <c r="C82" s="3" t="s">
        <v>108</v>
      </c>
      <c r="D82" s="65">
        <v>46.49</v>
      </c>
      <c r="E82" s="52">
        <v>78.98</v>
      </c>
      <c r="F82" s="66">
        <v>66.62</v>
      </c>
      <c r="G82" s="66">
        <v>111.82</v>
      </c>
      <c r="H82" s="53"/>
      <c r="I82" s="53"/>
      <c r="J82" s="53"/>
      <c r="K82" s="53"/>
      <c r="L82" s="53"/>
      <c r="M82" s="53"/>
      <c r="N82" s="53"/>
    </row>
    <row r="83" spans="1:14" x14ac:dyDescent="0.4">
      <c r="A83" s="2"/>
      <c r="B83" s="394"/>
      <c r="C83" s="3" t="s">
        <v>109</v>
      </c>
      <c r="D83" s="76" t="s">
        <v>84</v>
      </c>
      <c r="E83" s="67" t="s">
        <v>84</v>
      </c>
      <c r="F83" s="67" t="s">
        <v>84</v>
      </c>
      <c r="G83" s="67" t="s">
        <v>84</v>
      </c>
      <c r="H83" s="53"/>
      <c r="I83" s="53"/>
      <c r="J83" s="53"/>
      <c r="K83" s="53"/>
      <c r="L83" s="53"/>
      <c r="M83" s="53"/>
      <c r="N83" s="53"/>
    </row>
    <row r="84" spans="1:14" x14ac:dyDescent="0.4">
      <c r="A84" s="2"/>
      <c r="B84" s="394"/>
      <c r="C84" s="3" t="s">
        <v>74</v>
      </c>
      <c r="D84" s="76" t="s">
        <v>84</v>
      </c>
      <c r="E84" s="67" t="s">
        <v>84</v>
      </c>
      <c r="F84" s="67" t="s">
        <v>84</v>
      </c>
      <c r="G84" s="67" t="s">
        <v>84</v>
      </c>
      <c r="H84" s="53"/>
      <c r="I84" s="53"/>
      <c r="J84" s="53"/>
      <c r="K84" s="53"/>
      <c r="L84" s="53"/>
      <c r="M84" s="53"/>
      <c r="N84" s="53"/>
    </row>
    <row r="85" spans="1:14" x14ac:dyDescent="0.35">
      <c r="A85" s="2"/>
      <c r="B85" s="394" t="s">
        <v>75</v>
      </c>
      <c r="C85" s="3" t="s">
        <v>108</v>
      </c>
      <c r="D85" s="77">
        <v>11</v>
      </c>
      <c r="E85" s="52">
        <v>4.3600000000000003</v>
      </c>
      <c r="F85" s="66">
        <v>6</v>
      </c>
      <c r="G85" s="70">
        <f>L70/G82</f>
        <v>4.283670184224647</v>
      </c>
      <c r="H85" s="53"/>
      <c r="I85" s="53"/>
      <c r="J85" s="53"/>
      <c r="K85" s="53"/>
      <c r="L85" s="53"/>
      <c r="M85" s="53"/>
      <c r="N85" s="53"/>
    </row>
    <row r="86" spans="1:14" x14ac:dyDescent="0.4">
      <c r="A86" s="2"/>
      <c r="B86" s="394"/>
      <c r="C86" s="3" t="s">
        <v>109</v>
      </c>
      <c r="D86" s="76" t="s">
        <v>84</v>
      </c>
      <c r="E86" s="67" t="s">
        <v>84</v>
      </c>
      <c r="F86" s="67" t="s">
        <v>84</v>
      </c>
      <c r="G86" s="67" t="s">
        <v>84</v>
      </c>
      <c r="H86" s="53"/>
      <c r="I86" s="53"/>
      <c r="J86" s="53"/>
      <c r="K86" s="53"/>
      <c r="L86" s="53"/>
      <c r="M86" s="53"/>
      <c r="N86" s="53"/>
    </row>
    <row r="87" spans="1:14" x14ac:dyDescent="0.4">
      <c r="A87" s="2"/>
      <c r="B87" s="394"/>
      <c r="C87" s="3" t="s">
        <v>74</v>
      </c>
      <c r="D87" s="76" t="s">
        <v>84</v>
      </c>
      <c r="E87" s="67" t="s">
        <v>84</v>
      </c>
      <c r="F87" s="67" t="s">
        <v>84</v>
      </c>
      <c r="G87" s="67" t="s">
        <v>84</v>
      </c>
      <c r="H87" s="53"/>
      <c r="I87" s="53"/>
      <c r="J87" s="53"/>
      <c r="K87" s="53"/>
      <c r="L87" s="53"/>
      <c r="M87" s="53"/>
      <c r="N87" s="53"/>
    </row>
    <row r="88" spans="1:14" x14ac:dyDescent="0.35">
      <c r="A88" s="2"/>
      <c r="B88" s="394" t="s">
        <v>76</v>
      </c>
      <c r="C88" s="3" t="s">
        <v>108</v>
      </c>
      <c r="D88" s="65">
        <v>15.53</v>
      </c>
      <c r="E88" s="52">
        <v>19.41</v>
      </c>
      <c r="F88" s="66">
        <v>14.03</v>
      </c>
      <c r="G88" s="71">
        <f>1988.84/10392.67</f>
        <v>0.19136949407611326</v>
      </c>
      <c r="H88" s="53"/>
      <c r="I88" s="53"/>
      <c r="J88" s="53"/>
      <c r="K88" s="53"/>
      <c r="L88" s="53"/>
      <c r="M88" s="53"/>
      <c r="N88" s="53"/>
    </row>
    <row r="89" spans="1:14" x14ac:dyDescent="0.4">
      <c r="A89" s="2"/>
      <c r="B89" s="394"/>
      <c r="C89" s="3" t="s">
        <v>109</v>
      </c>
      <c r="D89" s="76" t="s">
        <v>84</v>
      </c>
      <c r="E89" s="67" t="s">
        <v>84</v>
      </c>
      <c r="F89" s="67" t="s">
        <v>84</v>
      </c>
      <c r="G89" s="67" t="s">
        <v>84</v>
      </c>
      <c r="H89" s="53"/>
      <c r="I89" s="53"/>
      <c r="J89" s="53"/>
      <c r="K89" s="53"/>
      <c r="L89" s="53"/>
      <c r="M89" s="53"/>
      <c r="N89" s="53"/>
    </row>
    <row r="90" spans="1:14" x14ac:dyDescent="0.4">
      <c r="A90" s="2"/>
      <c r="B90" s="394"/>
      <c r="C90" s="3" t="s">
        <v>74</v>
      </c>
      <c r="D90" s="76" t="s">
        <v>84</v>
      </c>
      <c r="E90" s="67" t="s">
        <v>84</v>
      </c>
      <c r="F90" s="67" t="s">
        <v>84</v>
      </c>
      <c r="G90" s="67" t="s">
        <v>84</v>
      </c>
      <c r="H90" s="53"/>
      <c r="I90" s="53"/>
      <c r="J90" s="53"/>
      <c r="K90" s="57"/>
      <c r="L90" s="53"/>
      <c r="M90" s="53"/>
      <c r="N90" s="53"/>
    </row>
    <row r="91" spans="1:14" x14ac:dyDescent="0.35">
      <c r="A91" s="2"/>
      <c r="B91" s="394" t="s">
        <v>77</v>
      </c>
      <c r="C91" s="3" t="s">
        <v>108</v>
      </c>
      <c r="D91" s="65">
        <v>781.61</v>
      </c>
      <c r="E91" s="52">
        <v>406.83</v>
      </c>
      <c r="F91" s="66">
        <v>474.84</v>
      </c>
      <c r="G91" s="70">
        <f>10392.67/17.78</f>
        <v>584.51462317210348</v>
      </c>
      <c r="H91" s="53"/>
      <c r="I91" s="53"/>
      <c r="J91" s="53"/>
      <c r="K91" s="53"/>
      <c r="L91" s="53"/>
      <c r="M91" s="53"/>
      <c r="N91" s="53"/>
    </row>
    <row r="92" spans="1:14" x14ac:dyDescent="0.4">
      <c r="A92" s="2"/>
      <c r="B92" s="394"/>
      <c r="C92" s="3" t="s">
        <v>109</v>
      </c>
      <c r="D92" s="76" t="s">
        <v>84</v>
      </c>
      <c r="E92" s="67" t="s">
        <v>84</v>
      </c>
      <c r="F92" s="67" t="s">
        <v>84</v>
      </c>
      <c r="G92" s="67"/>
      <c r="H92" s="53"/>
      <c r="I92" s="53"/>
      <c r="J92" s="53"/>
      <c r="K92" s="53"/>
      <c r="L92" s="53"/>
      <c r="M92" s="53"/>
      <c r="N92" s="53"/>
    </row>
    <row r="93" spans="1:14" x14ac:dyDescent="0.4">
      <c r="A93" s="2"/>
      <c r="B93" s="411"/>
      <c r="C93" s="3" t="s">
        <v>74</v>
      </c>
      <c r="D93" s="76" t="s">
        <v>84</v>
      </c>
      <c r="E93" s="67" t="s">
        <v>84</v>
      </c>
      <c r="F93" s="67" t="s">
        <v>84</v>
      </c>
      <c r="G93" s="67"/>
      <c r="H93" s="53"/>
      <c r="I93" s="53"/>
      <c r="J93" s="53"/>
      <c r="K93" s="53"/>
      <c r="L93" s="53"/>
      <c r="M93" s="53"/>
      <c r="N93" s="53"/>
    </row>
    <row r="94" spans="1:14" s="1" customFormat="1" ht="12.85" x14ac:dyDescent="0.4">
      <c r="B94" s="412" t="s">
        <v>110</v>
      </c>
      <c r="C94" s="413"/>
      <c r="D94" s="413"/>
      <c r="E94" s="413"/>
      <c r="F94" s="413"/>
      <c r="G94" s="414"/>
    </row>
    <row r="95" spans="1:14" x14ac:dyDescent="0.4">
      <c r="A95" s="2"/>
      <c r="B95" s="415" t="s">
        <v>111</v>
      </c>
      <c r="C95" s="416"/>
      <c r="D95" s="416"/>
      <c r="E95" s="416"/>
      <c r="F95" s="416"/>
      <c r="G95" s="417"/>
      <c r="H95" s="53"/>
      <c r="I95" s="53"/>
      <c r="J95" s="53"/>
      <c r="K95" s="53"/>
      <c r="L95" s="53"/>
      <c r="M95" s="53"/>
      <c r="N95" s="53"/>
    </row>
    <row r="96" spans="1:14" x14ac:dyDescent="0.4">
      <c r="A96" s="2"/>
      <c r="B96" s="418" t="s">
        <v>85</v>
      </c>
      <c r="C96" s="419"/>
      <c r="D96" s="419"/>
      <c r="E96" s="419"/>
      <c r="F96" s="419"/>
      <c r="G96" s="420"/>
      <c r="H96" s="53"/>
      <c r="I96" s="53"/>
      <c r="J96" s="53"/>
      <c r="K96" s="53"/>
      <c r="L96" s="53"/>
      <c r="M96" s="53"/>
      <c r="N96" s="53"/>
    </row>
    <row r="97" spans="1:14" x14ac:dyDescent="0.4">
      <c r="A97" s="2"/>
      <c r="B97" s="363"/>
      <c r="C97" s="368"/>
      <c r="D97" s="368"/>
      <c r="E97" s="368"/>
      <c r="F97" s="368"/>
      <c r="G97" s="369"/>
      <c r="H97" s="53"/>
      <c r="I97" s="53"/>
      <c r="J97" s="53"/>
      <c r="K97" s="53"/>
      <c r="L97" s="53"/>
      <c r="M97" s="53"/>
      <c r="N97" s="53"/>
    </row>
    <row r="98" spans="1:14" x14ac:dyDescent="0.4">
      <c r="C98" s="407"/>
      <c r="D98" s="407"/>
      <c r="E98" s="407"/>
      <c r="F98" s="407"/>
      <c r="G98" s="407"/>
      <c r="H98" s="53"/>
      <c r="I98" s="53"/>
    </row>
    <row r="99" spans="1:14" x14ac:dyDescent="0.4">
      <c r="A99" s="9">
        <v>14</v>
      </c>
      <c r="B99" s="61" t="s">
        <v>78</v>
      </c>
      <c r="C99" s="356" t="s">
        <v>13</v>
      </c>
      <c r="D99" s="357"/>
      <c r="E99" s="357"/>
      <c r="F99" s="357"/>
      <c r="G99" s="408"/>
    </row>
    <row r="100" spans="1:14" x14ac:dyDescent="0.4">
      <c r="A100" s="23"/>
      <c r="C100" s="69"/>
      <c r="D100" s="69"/>
      <c r="E100" s="69"/>
      <c r="F100" s="69"/>
      <c r="G100" s="69"/>
    </row>
    <row r="101" spans="1:14" x14ac:dyDescent="0.4">
      <c r="B101" s="409" t="s">
        <v>112</v>
      </c>
      <c r="C101" s="410"/>
      <c r="D101" s="410"/>
      <c r="E101" s="410"/>
      <c r="F101" s="410"/>
      <c r="G101" s="410"/>
      <c r="H101" s="410"/>
    </row>
  </sheetData>
  <sheetProtection password="E9DF" sheet="1" objects="1" scenarios="1"/>
  <mergeCells count="60">
    <mergeCell ref="C98:G98"/>
    <mergeCell ref="C99:G99"/>
    <mergeCell ref="B101:H101"/>
    <mergeCell ref="B88:B90"/>
    <mergeCell ref="B91:B93"/>
    <mergeCell ref="B94:G94"/>
    <mergeCell ref="B95:G95"/>
    <mergeCell ref="B96:G96"/>
    <mergeCell ref="B97:G97"/>
    <mergeCell ref="B85:B87"/>
    <mergeCell ref="F68:H68"/>
    <mergeCell ref="I68:K68"/>
    <mergeCell ref="L68:N68"/>
    <mergeCell ref="B72:N72"/>
    <mergeCell ref="B73:N73"/>
    <mergeCell ref="B74:N74"/>
    <mergeCell ref="B68:B69"/>
    <mergeCell ref="C68:C69"/>
    <mergeCell ref="D68:D69"/>
    <mergeCell ref="E68:E69"/>
    <mergeCell ref="B75:N75"/>
    <mergeCell ref="B76:N76"/>
    <mergeCell ref="B77:N77"/>
    <mergeCell ref="B79:G79"/>
    <mergeCell ref="B82:B84"/>
    <mergeCell ref="C56:E56"/>
    <mergeCell ref="C57:E57"/>
    <mergeCell ref="B58:E58"/>
    <mergeCell ref="B59:E59"/>
    <mergeCell ref="C62:E62"/>
    <mergeCell ref="B48:E48"/>
    <mergeCell ref="B50:E50"/>
    <mergeCell ref="B51:E51"/>
    <mergeCell ref="B53:E53"/>
    <mergeCell ref="B54:B55"/>
    <mergeCell ref="C54:E55"/>
    <mergeCell ref="B46:E46"/>
    <mergeCell ref="C22:E22"/>
    <mergeCell ref="B23:E23"/>
    <mergeCell ref="B26:E26"/>
    <mergeCell ref="B27:E27"/>
    <mergeCell ref="B33:E33"/>
    <mergeCell ref="B35:E35"/>
    <mergeCell ref="B39:C39"/>
    <mergeCell ref="B42:E42"/>
    <mergeCell ref="C43:E43"/>
    <mergeCell ref="C44:E44"/>
    <mergeCell ref="C45:E45"/>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07"/>
  <sheetViews>
    <sheetView topLeftCell="C52" workbookViewId="0">
      <selection activeCell="B75" sqref="B75:N75"/>
    </sheetView>
  </sheetViews>
  <sheetFormatPr defaultColWidth="8.84375" defaultRowHeight="13.25" x14ac:dyDescent="0.4"/>
  <cols>
    <col min="1" max="1" width="8.84375" style="8"/>
    <col min="2" max="2" width="40.3046875" style="8" customWidth="1"/>
    <col min="3" max="3" width="32.30468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277</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278</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279</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243</v>
      </c>
      <c r="C19" s="354" t="s">
        <v>41</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202</v>
      </c>
      <c r="D28" s="18" t="s">
        <v>22</v>
      </c>
      <c r="E28" s="18" t="s">
        <v>23</v>
      </c>
      <c r="F28" s="15"/>
    </row>
    <row r="29" spans="1:14" ht="12.7" customHeight="1" x14ac:dyDescent="0.4">
      <c r="A29" s="9"/>
      <c r="B29" s="19" t="s">
        <v>24</v>
      </c>
      <c r="C29" s="20">
        <v>11139.51</v>
      </c>
      <c r="D29" s="20">
        <v>10519.59</v>
      </c>
      <c r="E29" s="20">
        <v>9517.8799999999992</v>
      </c>
      <c r="F29" s="15"/>
    </row>
    <row r="30" spans="1:14" x14ac:dyDescent="0.4">
      <c r="A30" s="9"/>
      <c r="B30" s="19" t="s">
        <v>25</v>
      </c>
      <c r="C30" s="20">
        <v>158.06</v>
      </c>
      <c r="D30" s="20">
        <v>117.94</v>
      </c>
      <c r="E30" s="101">
        <v>121</v>
      </c>
      <c r="F30" s="15"/>
    </row>
    <row r="31" spans="1:14" x14ac:dyDescent="0.4">
      <c r="A31" s="9"/>
      <c r="B31" s="19" t="s">
        <v>26</v>
      </c>
      <c r="C31" s="20">
        <v>803.94</v>
      </c>
      <c r="D31" s="20">
        <v>803.94</v>
      </c>
      <c r="E31" s="20">
        <v>803.94</v>
      </c>
      <c r="F31" s="15"/>
    </row>
    <row r="32" spans="1:14" x14ac:dyDescent="0.4">
      <c r="A32" s="9"/>
      <c r="B32" s="19" t="s">
        <v>27</v>
      </c>
      <c r="C32" s="20">
        <v>1265.31</v>
      </c>
      <c r="D32" s="20">
        <v>1384.81</v>
      </c>
      <c r="E32" s="20">
        <v>1505.83</v>
      </c>
      <c r="F32" s="15"/>
    </row>
    <row r="33" spans="1:10" x14ac:dyDescent="0.4">
      <c r="A33" s="9"/>
      <c r="B33" s="363" t="s">
        <v>228</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ht="57.75" customHeight="1" x14ac:dyDescent="0.4">
      <c r="A44" s="9"/>
      <c r="B44" s="17" t="s">
        <v>31</v>
      </c>
      <c r="C44" s="373" t="s">
        <v>739</v>
      </c>
      <c r="D44" s="374"/>
      <c r="E44" s="375"/>
      <c r="F44" s="13"/>
    </row>
    <row r="45" spans="1:10" ht="24.75" customHeight="1" x14ac:dyDescent="0.4">
      <c r="A45" s="9"/>
      <c r="B45" s="17" t="s">
        <v>32</v>
      </c>
      <c r="C45" s="446" t="s">
        <v>738</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66.3" x14ac:dyDescent="0.4">
      <c r="A50" s="29"/>
      <c r="B50" s="78" t="s">
        <v>280</v>
      </c>
      <c r="C50" s="78" t="s">
        <v>281</v>
      </c>
      <c r="D50" s="28" t="s">
        <v>282</v>
      </c>
      <c r="E50" s="27"/>
    </row>
    <row r="51" spans="1:14" x14ac:dyDescent="0.4">
      <c r="A51" s="32"/>
      <c r="B51" s="62" t="s">
        <v>756</v>
      </c>
      <c r="C51" s="23"/>
      <c r="D51" s="23"/>
      <c r="E51" s="23"/>
      <c r="F51" s="15"/>
      <c r="G51" s="15"/>
      <c r="H51" s="15"/>
      <c r="I51" s="15"/>
    </row>
    <row r="52" spans="1:14" x14ac:dyDescent="0.4">
      <c r="A52" s="24">
        <v>10</v>
      </c>
      <c r="B52" s="376" t="s">
        <v>36</v>
      </c>
      <c r="C52" s="365"/>
      <c r="D52" s="365"/>
      <c r="E52" s="365"/>
      <c r="F52" s="15"/>
      <c r="G52" s="15"/>
      <c r="H52" s="15"/>
    </row>
    <row r="53" spans="1:14" x14ac:dyDescent="0.4">
      <c r="A53" s="29"/>
      <c r="B53" s="383" t="s">
        <v>43</v>
      </c>
      <c r="C53" s="385" t="s">
        <v>283</v>
      </c>
      <c r="D53" s="386"/>
      <c r="E53" s="387"/>
      <c r="K53" s="1"/>
    </row>
    <row r="54" spans="1:14" x14ac:dyDescent="0.4">
      <c r="A54" s="29"/>
      <c r="B54" s="384"/>
      <c r="C54" s="388"/>
      <c r="D54" s="389"/>
      <c r="E54" s="390"/>
      <c r="K54" s="1"/>
    </row>
    <row r="55" spans="1:14" ht="24.75" customHeight="1" x14ac:dyDescent="0.4">
      <c r="A55" s="24"/>
      <c r="B55" s="33" t="s">
        <v>44</v>
      </c>
      <c r="C55" s="391" t="s">
        <v>284</v>
      </c>
      <c r="D55" s="391"/>
      <c r="E55" s="391"/>
    </row>
    <row r="56" spans="1:14" x14ac:dyDescent="0.4">
      <c r="A56" s="29"/>
      <c r="B56" s="33" t="s">
        <v>45</v>
      </c>
      <c r="C56" s="391" t="s">
        <v>46</v>
      </c>
      <c r="D56" s="391"/>
      <c r="E56" s="391"/>
      <c r="K56" s="34"/>
    </row>
    <row r="57" spans="1:14" x14ac:dyDescent="0.4">
      <c r="A57" s="29"/>
      <c r="B57" s="380"/>
      <c r="C57" s="381"/>
      <c r="D57" s="381"/>
      <c r="E57" s="382"/>
      <c r="K57" s="34"/>
    </row>
    <row r="58" spans="1:14" s="63" customFormat="1" x14ac:dyDescent="0.35">
      <c r="A58" s="35" t="s">
        <v>47</v>
      </c>
      <c r="B58" s="392" t="s">
        <v>48</v>
      </c>
      <c r="C58" s="392"/>
      <c r="D58" s="392"/>
      <c r="E58" s="392"/>
    </row>
    <row r="59" spans="1:14" x14ac:dyDescent="0.4">
      <c r="A59" s="36"/>
      <c r="B59" s="2"/>
      <c r="C59" s="37"/>
      <c r="D59" s="38"/>
      <c r="E59" s="39"/>
      <c r="F59" s="34"/>
      <c r="G59" s="34"/>
      <c r="H59" s="34"/>
      <c r="I59" s="34"/>
      <c r="J59" s="34"/>
      <c r="K59" s="34"/>
      <c r="L59" s="34"/>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11"/>
      <c r="F64" s="11"/>
      <c r="G64" s="11"/>
      <c r="H64" s="11"/>
      <c r="I64" s="11"/>
      <c r="J64" s="11"/>
      <c r="K64" s="11"/>
      <c r="L64" s="11"/>
      <c r="M64" s="11"/>
      <c r="N64" s="11"/>
    </row>
    <row r="65" spans="1:14" x14ac:dyDescent="0.4">
      <c r="A65" s="9"/>
      <c r="B65" s="17" t="s">
        <v>52</v>
      </c>
      <c r="C65" s="19" t="s">
        <v>229</v>
      </c>
      <c r="D65" s="15"/>
      <c r="E65" s="15"/>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x14ac:dyDescent="0.4">
      <c r="A67" s="9"/>
      <c r="B67" s="365" t="s">
        <v>53</v>
      </c>
      <c r="C67" s="366" t="s">
        <v>285</v>
      </c>
      <c r="D67" s="366" t="s">
        <v>271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103</v>
      </c>
      <c r="C69" s="45">
        <v>24.95</v>
      </c>
      <c r="D69" s="45">
        <v>23.6</v>
      </c>
      <c r="E69" s="45">
        <v>23.65</v>
      </c>
      <c r="F69" s="45">
        <v>26</v>
      </c>
      <c r="G69" s="45">
        <v>29.9</v>
      </c>
      <c r="H69" s="45">
        <v>20.149999999999999</v>
      </c>
      <c r="I69" s="45">
        <v>26</v>
      </c>
      <c r="J69" s="45">
        <v>28</v>
      </c>
      <c r="K69" s="45">
        <v>22</v>
      </c>
      <c r="L69" s="45">
        <v>23.7</v>
      </c>
      <c r="M69" s="45">
        <v>29</v>
      </c>
      <c r="N69" s="45">
        <v>16.899999999999999</v>
      </c>
    </row>
    <row r="70" spans="1:14" ht="25.65" x14ac:dyDescent="0.35">
      <c r="A70" s="2"/>
      <c r="B70" s="17" t="s">
        <v>104</v>
      </c>
      <c r="C70" s="45">
        <v>8659.1</v>
      </c>
      <c r="D70" s="45">
        <v>8079.95</v>
      </c>
      <c r="E70" s="45">
        <v>8398</v>
      </c>
      <c r="F70" s="45">
        <v>9173.75</v>
      </c>
      <c r="G70" s="45">
        <v>8699.4</v>
      </c>
      <c r="H70" s="45">
        <v>8261.75</v>
      </c>
      <c r="I70" s="46">
        <v>10113.700000000001</v>
      </c>
      <c r="J70" s="46">
        <v>11171.55</v>
      </c>
      <c r="K70" s="48">
        <v>9075.15</v>
      </c>
      <c r="L70" s="45">
        <v>11623.9</v>
      </c>
      <c r="M70" s="45">
        <v>11760.2</v>
      </c>
      <c r="N70" s="45">
        <v>10004.549999999999</v>
      </c>
    </row>
    <row r="71" spans="1:14" x14ac:dyDescent="0.4">
      <c r="A71" s="2"/>
      <c r="B71" s="401" t="s">
        <v>94</v>
      </c>
      <c r="C71" s="401"/>
      <c r="D71" s="401"/>
      <c r="E71" s="401"/>
      <c r="F71" s="401"/>
      <c r="G71" s="401"/>
      <c r="H71" s="401"/>
      <c r="I71" s="401"/>
      <c r="J71" s="401"/>
      <c r="K71" s="401"/>
      <c r="L71" s="401"/>
      <c r="M71" s="401"/>
      <c r="N71" s="401"/>
    </row>
    <row r="72" spans="1:14" x14ac:dyDescent="0.4">
      <c r="A72" s="2"/>
      <c r="B72" s="359" t="s">
        <v>63</v>
      </c>
      <c r="C72" s="359"/>
      <c r="D72" s="359"/>
      <c r="E72" s="359"/>
      <c r="F72" s="359"/>
      <c r="G72" s="359"/>
      <c r="H72" s="359"/>
      <c r="I72" s="359"/>
      <c r="J72" s="359"/>
      <c r="K72" s="359"/>
      <c r="L72" s="359"/>
      <c r="M72" s="359"/>
      <c r="N72" s="359"/>
    </row>
    <row r="73" spans="1:14" s="1" customFormat="1" x14ac:dyDescent="0.4">
      <c r="B73" s="359" t="s">
        <v>64</v>
      </c>
      <c r="C73" s="359"/>
      <c r="D73" s="359"/>
      <c r="E73" s="359"/>
      <c r="F73" s="359"/>
      <c r="G73" s="359"/>
      <c r="H73" s="359"/>
      <c r="I73" s="359"/>
      <c r="J73" s="359"/>
      <c r="K73" s="359"/>
      <c r="L73" s="359"/>
      <c r="M73" s="359"/>
      <c r="N73" s="359"/>
    </row>
    <row r="74" spans="1:14" x14ac:dyDescent="0.4">
      <c r="A74" s="2"/>
      <c r="B74" s="359" t="s">
        <v>80</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102.5" x14ac:dyDescent="0.4">
      <c r="A79" s="2"/>
      <c r="B79" s="50" t="s">
        <v>67</v>
      </c>
      <c r="C79" s="18" t="s">
        <v>68</v>
      </c>
      <c r="D79" s="18" t="s">
        <v>69</v>
      </c>
      <c r="E79" s="18" t="s">
        <v>218</v>
      </c>
      <c r="F79" s="18" t="s">
        <v>71</v>
      </c>
      <c r="G79" s="18" t="s">
        <v>107</v>
      </c>
      <c r="H79" s="13"/>
      <c r="I79" s="13"/>
      <c r="J79" s="13"/>
      <c r="K79" s="13"/>
      <c r="L79" s="13"/>
      <c r="M79" s="13"/>
      <c r="N79" s="13"/>
    </row>
    <row r="80" spans="1:14" ht="25.55" customHeight="1" x14ac:dyDescent="0.35">
      <c r="A80" s="2"/>
      <c r="B80" s="394" t="s">
        <v>72</v>
      </c>
      <c r="C80" s="3" t="s">
        <v>286</v>
      </c>
      <c r="D80" s="65">
        <v>1.75</v>
      </c>
      <c r="E80" s="66">
        <v>1.97</v>
      </c>
      <c r="F80" s="66">
        <v>1.47</v>
      </c>
      <c r="G80" s="21">
        <v>1.51</v>
      </c>
      <c r="H80" s="53"/>
      <c r="I80" s="53"/>
      <c r="J80" s="53"/>
      <c r="K80" s="53"/>
      <c r="L80" s="53"/>
      <c r="M80" s="53"/>
      <c r="N80" s="53"/>
    </row>
    <row r="81" spans="1:14" x14ac:dyDescent="0.4">
      <c r="A81" s="2"/>
      <c r="B81" s="394"/>
      <c r="C81" s="3" t="s">
        <v>73</v>
      </c>
      <c r="D81" s="76" t="s">
        <v>84</v>
      </c>
      <c r="E81" s="66"/>
      <c r="F81" s="66"/>
      <c r="G81" s="21"/>
      <c r="H81" s="53"/>
      <c r="I81" s="53"/>
      <c r="J81" s="53"/>
      <c r="K81" s="53"/>
      <c r="L81" s="53"/>
      <c r="M81" s="53"/>
      <c r="N81" s="53"/>
    </row>
    <row r="82" spans="1:14" x14ac:dyDescent="0.4">
      <c r="A82" s="2"/>
      <c r="B82" s="394"/>
      <c r="C82" s="21" t="s">
        <v>287</v>
      </c>
      <c r="D82" s="76">
        <v>10.24</v>
      </c>
      <c r="E82" s="66">
        <v>7.72</v>
      </c>
      <c r="F82" s="66">
        <v>10.17</v>
      </c>
      <c r="G82" s="21">
        <v>10.17</v>
      </c>
      <c r="H82" s="53"/>
      <c r="I82" s="53"/>
      <c r="J82" s="53"/>
      <c r="K82" s="53"/>
      <c r="L82" s="53"/>
      <c r="M82" s="53"/>
      <c r="N82" s="53"/>
    </row>
    <row r="83" spans="1:14" x14ac:dyDescent="0.4">
      <c r="A83" s="2"/>
      <c r="B83" s="394"/>
      <c r="C83" s="21" t="s">
        <v>288</v>
      </c>
      <c r="D83" s="76">
        <v>5.48</v>
      </c>
      <c r="E83" s="66">
        <v>4.42</v>
      </c>
      <c r="F83" s="66">
        <v>5.03</v>
      </c>
      <c r="G83" s="21">
        <v>3.83</v>
      </c>
      <c r="H83" s="53"/>
      <c r="I83" s="53"/>
      <c r="J83" s="53"/>
      <c r="K83" s="53"/>
      <c r="L83" s="53"/>
      <c r="M83" s="53"/>
      <c r="N83" s="53"/>
    </row>
    <row r="84" spans="1:14" x14ac:dyDescent="0.4">
      <c r="A84" s="2"/>
      <c r="B84" s="394"/>
      <c r="C84" s="3" t="s">
        <v>74</v>
      </c>
      <c r="D84" s="127">
        <f>D82+D83/2</f>
        <v>12.98</v>
      </c>
      <c r="E84" s="128">
        <f>E82+E83/2</f>
        <v>9.93</v>
      </c>
      <c r="F84" s="128">
        <f>F82+F83/2</f>
        <v>12.685</v>
      </c>
      <c r="G84" s="128">
        <f>G82+G83/2</f>
        <v>12.085000000000001</v>
      </c>
      <c r="H84" s="53"/>
      <c r="I84" s="53"/>
      <c r="J84" s="53"/>
      <c r="K84" s="53"/>
      <c r="L84" s="53"/>
      <c r="M84" s="53"/>
      <c r="N84" s="53"/>
    </row>
    <row r="85" spans="1:14" ht="26.5" x14ac:dyDescent="0.35">
      <c r="A85" s="2"/>
      <c r="B85" s="394" t="s">
        <v>75</v>
      </c>
      <c r="C85" s="3" t="s">
        <v>286</v>
      </c>
      <c r="D85" s="77">
        <v>13.94</v>
      </c>
      <c r="E85" s="66">
        <v>13.22</v>
      </c>
      <c r="F85" s="70">
        <f>F69/F80</f>
        <v>17.687074829931973</v>
      </c>
      <c r="G85" s="120">
        <f>L69/G80</f>
        <v>15.695364238410596</v>
      </c>
      <c r="H85" s="53"/>
      <c r="I85" s="53"/>
      <c r="J85" s="53"/>
      <c r="K85" s="53"/>
      <c r="L85" s="53"/>
      <c r="M85" s="53"/>
      <c r="N85" s="53"/>
    </row>
    <row r="86" spans="1:14" x14ac:dyDescent="0.4">
      <c r="A86" s="2"/>
      <c r="B86" s="394"/>
      <c r="C86" s="3" t="s">
        <v>73</v>
      </c>
      <c r="D86" s="76" t="s">
        <v>84</v>
      </c>
      <c r="E86" s="66"/>
      <c r="F86" s="66"/>
      <c r="G86" s="21"/>
      <c r="H86" s="53"/>
      <c r="I86" s="53"/>
      <c r="J86" s="53"/>
      <c r="K86" s="53"/>
      <c r="L86" s="53"/>
      <c r="M86" s="53"/>
      <c r="N86" s="53"/>
    </row>
    <row r="87" spans="1:14" x14ac:dyDescent="0.4">
      <c r="A87" s="2"/>
      <c r="B87" s="394"/>
      <c r="C87" s="21" t="s">
        <v>287</v>
      </c>
      <c r="D87" s="76">
        <v>28.71</v>
      </c>
      <c r="E87" s="66">
        <v>40.31</v>
      </c>
      <c r="F87" s="70">
        <f>384.35/F82</f>
        <v>37.792527040314653</v>
      </c>
      <c r="G87" s="126">
        <f>282.25/G82</f>
        <v>27.753195673549655</v>
      </c>
      <c r="H87" s="53"/>
      <c r="I87" s="53"/>
      <c r="J87" s="53"/>
      <c r="K87" s="53"/>
      <c r="L87" s="53"/>
      <c r="M87" s="53"/>
      <c r="N87" s="53"/>
    </row>
    <row r="88" spans="1:14" x14ac:dyDescent="0.4">
      <c r="A88" s="2"/>
      <c r="B88" s="394"/>
      <c r="C88" s="21" t="s">
        <v>288</v>
      </c>
      <c r="D88" s="76">
        <v>17.2</v>
      </c>
      <c r="E88" s="66">
        <v>19.68</v>
      </c>
      <c r="F88" s="70">
        <f>55.45/F83</f>
        <v>11.023856858846919</v>
      </c>
      <c r="G88" s="120">
        <f>46.15/G83</f>
        <v>12.049608355091383</v>
      </c>
      <c r="H88" s="53"/>
      <c r="I88" s="53"/>
      <c r="J88" s="53"/>
      <c r="K88" s="53"/>
      <c r="L88" s="53"/>
      <c r="M88" s="53"/>
      <c r="N88" s="53"/>
    </row>
    <row r="89" spans="1:14" x14ac:dyDescent="0.4">
      <c r="A89" s="2"/>
      <c r="B89" s="394"/>
      <c r="C89" s="3" t="s">
        <v>74</v>
      </c>
      <c r="D89" s="127">
        <f>SUM(D87:D88)/2</f>
        <v>22.954999999999998</v>
      </c>
      <c r="E89" s="128">
        <f>SUM(E87:E88)/2</f>
        <v>29.995000000000001</v>
      </c>
      <c r="F89" s="128">
        <f>SUM(F87:F88)/2</f>
        <v>24.408191949580786</v>
      </c>
      <c r="G89" s="128">
        <f>SUM(G87:G88)/2</f>
        <v>19.901402014320517</v>
      </c>
      <c r="H89" s="53"/>
      <c r="I89" s="53"/>
      <c r="J89" s="53"/>
      <c r="K89" s="53"/>
      <c r="L89" s="53"/>
      <c r="M89" s="53"/>
      <c r="N89" s="53"/>
    </row>
    <row r="90" spans="1:14" ht="26.5" x14ac:dyDescent="0.35">
      <c r="A90" s="2"/>
      <c r="B90" s="394" t="s">
        <v>76</v>
      </c>
      <c r="C90" s="3" t="s">
        <v>286</v>
      </c>
      <c r="D90" s="65">
        <v>7.5</v>
      </c>
      <c r="E90" s="66">
        <v>7.66</v>
      </c>
      <c r="F90" s="71">
        <f>117.94/2109.41</f>
        <v>5.5911368581736128E-2</v>
      </c>
      <c r="G90" s="120">
        <f>12100814/230976737*100</f>
        <v>5.2389752133350118</v>
      </c>
      <c r="H90" s="53"/>
      <c r="I90" s="53"/>
      <c r="J90" s="53"/>
      <c r="K90" s="53"/>
      <c r="L90" s="53"/>
      <c r="M90" s="53"/>
      <c r="N90" s="53"/>
    </row>
    <row r="91" spans="1:14" x14ac:dyDescent="0.4">
      <c r="A91" s="2"/>
      <c r="B91" s="394"/>
      <c r="C91" s="3" t="s">
        <v>73</v>
      </c>
      <c r="D91" s="76" t="s">
        <v>84</v>
      </c>
      <c r="E91" s="66"/>
      <c r="F91" s="66"/>
      <c r="G91" s="21"/>
      <c r="H91" s="53"/>
      <c r="I91" s="53"/>
      <c r="J91" s="53"/>
      <c r="K91" s="53"/>
      <c r="L91" s="53"/>
      <c r="M91" s="53"/>
      <c r="N91" s="53"/>
    </row>
    <row r="92" spans="1:14" x14ac:dyDescent="0.4">
      <c r="A92" s="2"/>
      <c r="B92" s="394"/>
      <c r="C92" s="21" t="s">
        <v>287</v>
      </c>
      <c r="D92" s="76">
        <v>23.53</v>
      </c>
      <c r="E92" s="66">
        <v>13.02</v>
      </c>
      <c r="F92" s="71">
        <f>9256.42/59321.97</f>
        <v>0.15603696235981374</v>
      </c>
      <c r="G92" s="120">
        <f>9191.61/64593.8*100</f>
        <v>14.229864166529914</v>
      </c>
      <c r="H92" s="53"/>
      <c r="I92" s="53"/>
      <c r="J92" s="53"/>
      <c r="K92" s="53"/>
      <c r="L92" s="53"/>
      <c r="M92" s="53"/>
      <c r="N92" s="53"/>
    </row>
    <row r="93" spans="1:14" x14ac:dyDescent="0.4">
      <c r="A93" s="2"/>
      <c r="B93" s="394"/>
      <c r="C93" s="21" t="s">
        <v>288</v>
      </c>
      <c r="D93" s="76">
        <v>6.64</v>
      </c>
      <c r="E93" s="66">
        <v>6.1</v>
      </c>
      <c r="F93" s="71">
        <f>822.54/12743.76</f>
        <v>6.4544530028814093E-2</v>
      </c>
      <c r="G93" s="120">
        <f>632.54/12807.71*100</f>
        <v>4.9387439284618404</v>
      </c>
      <c r="H93" s="53"/>
      <c r="I93" s="53"/>
      <c r="J93" s="53"/>
      <c r="K93" s="53"/>
      <c r="L93" s="53"/>
      <c r="M93" s="53"/>
      <c r="N93" s="53"/>
    </row>
    <row r="94" spans="1:14" x14ac:dyDescent="0.4">
      <c r="A94" s="2"/>
      <c r="B94" s="394"/>
      <c r="C94" s="3" t="s">
        <v>74</v>
      </c>
      <c r="D94" s="127">
        <f>SUM(D92:D93)/2</f>
        <v>15.085000000000001</v>
      </c>
      <c r="E94" s="128">
        <f>SUM(E92:E93)/2</f>
        <v>9.5599999999999987</v>
      </c>
      <c r="F94" s="128">
        <f>SUM(F92:F93)/2</f>
        <v>0.11029074619431392</v>
      </c>
      <c r="G94" s="128">
        <f>SUM(G92:G93)/2</f>
        <v>9.5843040474958769</v>
      </c>
      <c r="H94" s="53"/>
      <c r="I94" s="53"/>
      <c r="J94" s="53"/>
      <c r="K94" s="57"/>
      <c r="L94" s="53"/>
      <c r="M94" s="53"/>
      <c r="N94" s="53"/>
    </row>
    <row r="95" spans="1:14" ht="26.5" x14ac:dyDescent="0.35">
      <c r="A95" s="2"/>
      <c r="B95" s="394" t="s">
        <v>77</v>
      </c>
      <c r="C95" s="3" t="s">
        <v>286</v>
      </c>
      <c r="D95" s="65">
        <v>22.97</v>
      </c>
      <c r="E95" s="66">
        <v>25.74</v>
      </c>
      <c r="F95" s="70">
        <f>2109.41/80.39</f>
        <v>26.23970643114815</v>
      </c>
      <c r="G95" s="120">
        <f>150582737/8039400</f>
        <v>18.73059394979725</v>
      </c>
      <c r="H95" s="53"/>
      <c r="I95" s="53"/>
      <c r="J95" s="53"/>
      <c r="K95" s="53"/>
      <c r="L95" s="53"/>
      <c r="M95" s="53"/>
      <c r="N95" s="53"/>
    </row>
    <row r="96" spans="1:14" x14ac:dyDescent="0.4">
      <c r="A96" s="2"/>
      <c r="B96" s="394"/>
      <c r="C96" s="3" t="s">
        <v>73</v>
      </c>
      <c r="D96" s="76" t="s">
        <v>84</v>
      </c>
      <c r="E96" s="66"/>
      <c r="F96" s="66"/>
      <c r="G96" s="21"/>
      <c r="H96" s="53"/>
      <c r="I96" s="53"/>
      <c r="J96" s="53"/>
      <c r="K96" s="53"/>
      <c r="L96" s="53"/>
      <c r="M96" s="53"/>
      <c r="N96" s="53"/>
    </row>
    <row r="97" spans="1:14" x14ac:dyDescent="0.4">
      <c r="A97" s="2"/>
      <c r="B97" s="411"/>
      <c r="C97" s="21" t="s">
        <v>287</v>
      </c>
      <c r="D97" s="76">
        <v>59.18</v>
      </c>
      <c r="E97" s="66">
        <v>59.32</v>
      </c>
      <c r="F97" s="70">
        <f>59321.97/903.4</f>
        <v>65.665231348239985</v>
      </c>
      <c r="G97" s="120">
        <f>(64593.8*100000)/90343500</f>
        <v>71.498004837093987</v>
      </c>
      <c r="H97" s="53"/>
      <c r="I97" s="53"/>
      <c r="J97" s="53"/>
      <c r="K97" s="53"/>
      <c r="L97" s="53"/>
      <c r="M97" s="53"/>
      <c r="N97" s="53"/>
    </row>
    <row r="98" spans="1:14" x14ac:dyDescent="0.4">
      <c r="A98" s="2"/>
      <c r="B98" s="411"/>
      <c r="C98" s="21" t="s">
        <v>288</v>
      </c>
      <c r="D98" s="76">
        <v>67.099999999999994</v>
      </c>
      <c r="E98" s="66">
        <v>72.53</v>
      </c>
      <c r="F98" s="70">
        <f>12743.76/165.35</f>
        <v>77.071424251587544</v>
      </c>
      <c r="G98" s="120">
        <f>(12807.71*100000)/16535900</f>
        <v>77.453963799974602</v>
      </c>
      <c r="H98" s="53"/>
      <c r="I98" s="53"/>
      <c r="J98" s="53"/>
      <c r="K98" s="53"/>
      <c r="L98" s="53"/>
      <c r="M98" s="53"/>
      <c r="N98" s="53"/>
    </row>
    <row r="99" spans="1:14" x14ac:dyDescent="0.4">
      <c r="A99" s="2"/>
      <c r="B99" s="411"/>
      <c r="C99" s="3" t="s">
        <v>74</v>
      </c>
      <c r="D99" s="127">
        <f>SUM(D97:D98)/2</f>
        <v>63.14</v>
      </c>
      <c r="E99" s="128">
        <f>SUM(E97:E98)/2</f>
        <v>65.924999999999997</v>
      </c>
      <c r="F99" s="128">
        <f>SUM(F97:F98)/2</f>
        <v>71.368327799913772</v>
      </c>
      <c r="G99" s="128">
        <f>SUM(G97:G98)/2</f>
        <v>74.475984318534302</v>
      </c>
      <c r="H99" s="53"/>
      <c r="I99" s="53"/>
      <c r="J99" s="53"/>
      <c r="K99" s="53"/>
      <c r="L99" s="53"/>
      <c r="M99" s="53"/>
      <c r="N99" s="53"/>
    </row>
    <row r="100" spans="1:14" s="1" customFormat="1" x14ac:dyDescent="0.4">
      <c r="B100" s="412"/>
      <c r="C100" s="413"/>
      <c r="D100" s="413"/>
      <c r="E100" s="413"/>
      <c r="F100" s="413"/>
      <c r="G100" s="414"/>
    </row>
    <row r="101" spans="1:14" x14ac:dyDescent="0.4">
      <c r="A101" s="2"/>
      <c r="B101" s="415" t="s">
        <v>257</v>
      </c>
      <c r="C101" s="416"/>
      <c r="D101" s="416"/>
      <c r="E101" s="416"/>
      <c r="F101" s="416"/>
      <c r="G101" s="417"/>
      <c r="H101" s="53"/>
      <c r="I101" s="53"/>
      <c r="J101" s="53"/>
      <c r="K101" s="53"/>
      <c r="L101" s="53"/>
      <c r="M101" s="53"/>
      <c r="N101" s="53"/>
    </row>
    <row r="102" spans="1:14" x14ac:dyDescent="0.4">
      <c r="A102" s="2"/>
      <c r="B102" s="418" t="s">
        <v>85</v>
      </c>
      <c r="C102" s="419"/>
      <c r="D102" s="419"/>
      <c r="E102" s="419"/>
      <c r="F102" s="419"/>
      <c r="G102" s="420"/>
      <c r="H102" s="53"/>
      <c r="I102" s="53"/>
      <c r="J102" s="53"/>
      <c r="K102" s="53"/>
      <c r="L102" s="53"/>
      <c r="M102" s="53"/>
      <c r="N102" s="53"/>
    </row>
    <row r="103" spans="1:14" x14ac:dyDescent="0.4">
      <c r="A103" s="2"/>
      <c r="B103" s="363"/>
      <c r="C103" s="368"/>
      <c r="D103" s="368"/>
      <c r="E103" s="368"/>
      <c r="F103" s="368"/>
      <c r="G103" s="369"/>
      <c r="H103" s="53"/>
      <c r="I103" s="53"/>
      <c r="J103" s="53"/>
      <c r="K103" s="53"/>
      <c r="L103" s="53"/>
      <c r="M103" s="53"/>
      <c r="N103" s="53"/>
    </row>
    <row r="104" spans="1:14" x14ac:dyDescent="0.4">
      <c r="C104" s="407"/>
      <c r="D104" s="407"/>
      <c r="E104" s="407"/>
      <c r="F104" s="407"/>
      <c r="G104" s="407"/>
      <c r="H104" s="53"/>
      <c r="I104" s="53"/>
    </row>
    <row r="105" spans="1:14" x14ac:dyDescent="0.4">
      <c r="A105" s="9">
        <v>14</v>
      </c>
      <c r="B105" s="61" t="s">
        <v>78</v>
      </c>
      <c r="C105" s="356" t="s">
        <v>41</v>
      </c>
      <c r="D105" s="357"/>
      <c r="E105" s="357"/>
      <c r="F105" s="357"/>
      <c r="G105" s="408"/>
    </row>
    <row r="106" spans="1:14" x14ac:dyDescent="0.4">
      <c r="A106" s="23"/>
      <c r="C106" s="69"/>
      <c r="D106" s="69"/>
      <c r="E106" s="69"/>
      <c r="F106" s="69"/>
      <c r="G106" s="69"/>
    </row>
    <row r="107" spans="1:14" x14ac:dyDescent="0.4">
      <c r="B107" s="409" t="s">
        <v>289</v>
      </c>
      <c r="C107" s="410"/>
      <c r="D107" s="410"/>
      <c r="E107" s="410"/>
      <c r="F107" s="410"/>
      <c r="G107" s="410"/>
      <c r="H107" s="410"/>
    </row>
  </sheetData>
  <sheetProtection password="E9DF" sheet="1" objects="1" scenarios="1"/>
  <mergeCells count="57">
    <mergeCell ref="B90:B94"/>
    <mergeCell ref="B95:B99"/>
    <mergeCell ref="B107:H107"/>
    <mergeCell ref="B100:G100"/>
    <mergeCell ref="B101:G101"/>
    <mergeCell ref="B102:G102"/>
    <mergeCell ref="B103:G103"/>
    <mergeCell ref="C104:G104"/>
    <mergeCell ref="C105:G105"/>
    <mergeCell ref="B74:N74"/>
    <mergeCell ref="B75:N75"/>
    <mergeCell ref="B77:G77"/>
    <mergeCell ref="B80:B84"/>
    <mergeCell ref="B85:B89"/>
    <mergeCell ref="B73:N73"/>
    <mergeCell ref="C55:E55"/>
    <mergeCell ref="C56:E56"/>
    <mergeCell ref="B57:E57"/>
    <mergeCell ref="B58:E58"/>
    <mergeCell ref="C61:E61"/>
    <mergeCell ref="B67:B68"/>
    <mergeCell ref="C67:C68"/>
    <mergeCell ref="D67:D68"/>
    <mergeCell ref="E67:E68"/>
    <mergeCell ref="F67:H67"/>
    <mergeCell ref="I67:K67"/>
    <mergeCell ref="L67:N67"/>
    <mergeCell ref="B71:N71"/>
    <mergeCell ref="B72:N72"/>
    <mergeCell ref="B53:B54"/>
    <mergeCell ref="C53:E54"/>
    <mergeCell ref="B35:E35"/>
    <mergeCell ref="B39:C39"/>
    <mergeCell ref="B42:E42"/>
    <mergeCell ref="C43:E43"/>
    <mergeCell ref="C44:E44"/>
    <mergeCell ref="C45:E45"/>
    <mergeCell ref="B46:E46"/>
    <mergeCell ref="B48:E48"/>
    <mergeCell ref="B52:E52"/>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16"/>
  <sheetViews>
    <sheetView topLeftCell="F55"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22.84375" style="8" customWidth="1"/>
    <col min="5" max="5" width="22.3046875" style="8" customWidth="1"/>
    <col min="6" max="6" width="19.84375" style="8" customWidth="1"/>
    <col min="7" max="7" width="22.3046875" style="8" customWidth="1"/>
    <col min="8" max="8" width="8.84375" style="8"/>
    <col min="9" max="9" width="10" style="8" bestFit="1" customWidth="1"/>
    <col min="10" max="16384" width="8.84375" style="8"/>
  </cols>
  <sheetData>
    <row r="1" spans="1:5" ht="14.35" customHeight="1" x14ac:dyDescent="0.4">
      <c r="A1" s="355" t="s">
        <v>0</v>
      </c>
      <c r="B1" s="355"/>
      <c r="D1" s="1"/>
    </row>
    <row r="3" spans="1:5" ht="19.25" customHeight="1" x14ac:dyDescent="0.4">
      <c r="A3" s="2" t="s">
        <v>1</v>
      </c>
      <c r="B3" s="3" t="s">
        <v>2</v>
      </c>
      <c r="C3" s="4" t="s">
        <v>290</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291</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292</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243</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31.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x14ac:dyDescent="0.4">
      <c r="A29" s="9"/>
      <c r="B29" s="19" t="s">
        <v>24</v>
      </c>
      <c r="C29" s="21">
        <v>1187.48</v>
      </c>
      <c r="D29" s="21">
        <v>354.5</v>
      </c>
      <c r="E29" s="96">
        <v>2.79</v>
      </c>
      <c r="F29" s="15"/>
    </row>
    <row r="30" spans="1:14" x14ac:dyDescent="0.4">
      <c r="A30" s="9"/>
      <c r="B30" s="19" t="s">
        <v>25</v>
      </c>
      <c r="C30" s="21">
        <v>66.430000000000007</v>
      </c>
      <c r="D30" s="21">
        <v>16.079999999999998</v>
      </c>
      <c r="E30" s="96">
        <f>+-14.93</f>
        <v>-14.93</v>
      </c>
      <c r="F30" s="15"/>
    </row>
    <row r="31" spans="1:14" x14ac:dyDescent="0.4">
      <c r="A31" s="9"/>
      <c r="B31" s="19" t="s">
        <v>26</v>
      </c>
      <c r="C31" s="21">
        <v>352</v>
      </c>
      <c r="D31" s="21">
        <v>704</v>
      </c>
      <c r="E31" s="21">
        <v>704</v>
      </c>
      <c r="F31" s="15"/>
    </row>
    <row r="32" spans="1:14" x14ac:dyDescent="0.4">
      <c r="A32" s="9"/>
      <c r="B32" s="19" t="s">
        <v>27</v>
      </c>
      <c r="C32" s="21">
        <v>119.58</v>
      </c>
      <c r="D32" s="21">
        <v>199.59</v>
      </c>
      <c r="E32" s="96">
        <v>184.65</v>
      </c>
      <c r="F32" s="15"/>
    </row>
    <row r="33" spans="1:10" x14ac:dyDescent="0.4">
      <c r="A33" s="9"/>
      <c r="B33" s="363" t="s">
        <v>228</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373" t="s">
        <v>79</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71.25" customHeight="1" x14ac:dyDescent="0.4">
      <c r="A50" s="29"/>
      <c r="B50" s="78" t="s">
        <v>295</v>
      </c>
      <c r="C50" s="78" t="s">
        <v>296</v>
      </c>
      <c r="D50" s="112" t="s">
        <v>685</v>
      </c>
      <c r="E50" s="114" t="s">
        <v>84</v>
      </c>
    </row>
    <row r="51" spans="1:14" x14ac:dyDescent="0.4">
      <c r="A51" s="31"/>
      <c r="B51" s="380" t="s">
        <v>170</v>
      </c>
      <c r="C51" s="381"/>
      <c r="D51" s="381"/>
      <c r="E51" s="382"/>
      <c r="F51" s="15"/>
      <c r="G51" s="15"/>
      <c r="H51" s="15"/>
    </row>
    <row r="52" spans="1:14" x14ac:dyDescent="0.4">
      <c r="A52" s="32"/>
      <c r="B52" s="62"/>
      <c r="C52" s="23"/>
      <c r="D52" s="23"/>
      <c r="E52" s="23"/>
      <c r="F52" s="15"/>
      <c r="G52" s="15"/>
      <c r="H52" s="15"/>
      <c r="I52" s="15"/>
    </row>
    <row r="53" spans="1:14" ht="30.7" customHeight="1" x14ac:dyDescent="0.4">
      <c r="A53" s="24">
        <v>10</v>
      </c>
      <c r="B53" s="376" t="s">
        <v>36</v>
      </c>
      <c r="C53" s="365"/>
      <c r="D53" s="365"/>
      <c r="E53" s="365"/>
      <c r="F53" s="15"/>
      <c r="G53" s="15"/>
      <c r="H53" s="15"/>
    </row>
    <row r="54" spans="1:14" x14ac:dyDescent="0.4">
      <c r="A54" s="29"/>
      <c r="B54" s="383" t="s">
        <v>43</v>
      </c>
      <c r="C54" s="385" t="s">
        <v>297</v>
      </c>
      <c r="D54" s="386"/>
      <c r="E54" s="387"/>
      <c r="K54" s="1"/>
    </row>
    <row r="55" spans="1:14" ht="24" customHeight="1" x14ac:dyDescent="0.4">
      <c r="A55" s="29"/>
      <c r="B55" s="384"/>
      <c r="C55" s="388"/>
      <c r="D55" s="389"/>
      <c r="E55" s="390"/>
      <c r="K55" s="1"/>
    </row>
    <row r="56" spans="1:14" ht="39" customHeight="1" x14ac:dyDescent="0.4">
      <c r="A56" s="24"/>
      <c r="B56" s="33" t="s">
        <v>44</v>
      </c>
      <c r="C56" s="391" t="s">
        <v>686</v>
      </c>
      <c r="D56" s="391"/>
      <c r="E56" s="391"/>
    </row>
    <row r="57" spans="1:14" x14ac:dyDescent="0.4">
      <c r="A57" s="29"/>
      <c r="B57" s="33" t="s">
        <v>45</v>
      </c>
      <c r="C57" s="391" t="s">
        <v>46</v>
      </c>
      <c r="D57" s="391"/>
      <c r="E57" s="391"/>
      <c r="K57" s="34"/>
    </row>
    <row r="58" spans="1:14" s="63" customFormat="1" x14ac:dyDescent="0.35">
      <c r="A58" s="35" t="s">
        <v>47</v>
      </c>
      <c r="B58" s="392" t="s">
        <v>48</v>
      </c>
      <c r="C58" s="392"/>
      <c r="D58" s="392"/>
      <c r="E58" s="392"/>
    </row>
    <row r="59" spans="1:14" x14ac:dyDescent="0.4">
      <c r="A59" s="36"/>
      <c r="B59" s="2"/>
      <c r="C59" s="37"/>
      <c r="D59" s="38"/>
      <c r="E59" s="39"/>
      <c r="F59" s="34"/>
      <c r="G59" s="34"/>
      <c r="H59" s="34"/>
      <c r="I59" s="34"/>
      <c r="J59" s="34"/>
      <c r="K59" s="34"/>
      <c r="L59" s="34"/>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11"/>
      <c r="F64" s="11"/>
      <c r="G64" s="11"/>
      <c r="H64" s="11"/>
      <c r="I64" s="11"/>
      <c r="J64" s="11"/>
      <c r="K64" s="11"/>
      <c r="L64" s="11"/>
      <c r="M64" s="11"/>
      <c r="N64" s="11"/>
    </row>
    <row r="65" spans="1:14" x14ac:dyDescent="0.4">
      <c r="A65" s="9"/>
      <c r="B65" s="17" t="s">
        <v>52</v>
      </c>
      <c r="C65" s="19" t="s">
        <v>298</v>
      </c>
      <c r="D65" s="15"/>
      <c r="E65" s="15"/>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x14ac:dyDescent="0.4">
      <c r="A67" s="9"/>
      <c r="B67" s="365" t="s">
        <v>53</v>
      </c>
      <c r="C67" s="366" t="s">
        <v>270</v>
      </c>
      <c r="D67" s="366" t="s">
        <v>271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103</v>
      </c>
      <c r="C69" s="45">
        <v>41.25</v>
      </c>
      <c r="D69" s="46">
        <v>36.75</v>
      </c>
      <c r="E69" s="46">
        <v>37.5</v>
      </c>
      <c r="F69" s="46">
        <v>38</v>
      </c>
      <c r="G69" s="46">
        <v>43.25</v>
      </c>
      <c r="H69" s="45">
        <v>33</v>
      </c>
      <c r="I69" s="45">
        <v>15.6</v>
      </c>
      <c r="J69" s="45">
        <v>43</v>
      </c>
      <c r="K69" s="45">
        <v>15.6</v>
      </c>
      <c r="L69" s="45">
        <v>8.6</v>
      </c>
      <c r="M69" s="45">
        <v>16</v>
      </c>
      <c r="N69" s="45">
        <v>8.35</v>
      </c>
    </row>
    <row r="70" spans="1:14" ht="25.65" x14ac:dyDescent="0.35">
      <c r="A70" s="2"/>
      <c r="B70" s="17" t="s">
        <v>104</v>
      </c>
      <c r="C70" s="45">
        <v>8677.9</v>
      </c>
      <c r="D70" s="45">
        <v>8111.6</v>
      </c>
      <c r="E70" s="45">
        <v>8412.7999999999993</v>
      </c>
      <c r="F70" s="46">
        <v>9173.75</v>
      </c>
      <c r="G70" s="46">
        <v>8659.1</v>
      </c>
      <c r="H70" s="46">
        <v>9030.4500000000007</v>
      </c>
      <c r="I70" s="46">
        <v>10113.700000000001</v>
      </c>
      <c r="J70" s="46">
        <v>11171.55</v>
      </c>
      <c r="K70" s="48">
        <v>9075.15</v>
      </c>
      <c r="L70" s="45">
        <v>11623.9</v>
      </c>
      <c r="M70" s="45">
        <v>11760.2</v>
      </c>
      <c r="N70" s="45">
        <v>10004.549999999999</v>
      </c>
    </row>
    <row r="71" spans="1:14" x14ac:dyDescent="0.4">
      <c r="A71" s="2"/>
      <c r="B71" s="399" t="s">
        <v>253</v>
      </c>
      <c r="C71" s="400"/>
      <c r="D71" s="400"/>
      <c r="E71" s="400"/>
      <c r="F71" s="399"/>
      <c r="G71" s="399"/>
      <c r="H71" s="399"/>
      <c r="I71" s="399"/>
      <c r="J71" s="399"/>
      <c r="K71" s="399"/>
      <c r="L71" s="399"/>
      <c r="M71" s="399"/>
      <c r="N71" s="399"/>
    </row>
    <row r="72" spans="1:14" x14ac:dyDescent="0.4">
      <c r="A72" s="2"/>
      <c r="B72" s="401" t="s">
        <v>94</v>
      </c>
      <c r="C72" s="401"/>
      <c r="D72" s="401"/>
      <c r="E72" s="401"/>
      <c r="F72" s="401"/>
      <c r="G72" s="401"/>
      <c r="H72" s="401"/>
      <c r="I72" s="401"/>
      <c r="J72" s="401"/>
      <c r="K72" s="401"/>
      <c r="L72" s="401"/>
      <c r="M72" s="401"/>
      <c r="N72" s="401"/>
    </row>
    <row r="73" spans="1:14" x14ac:dyDescent="0.4">
      <c r="A73" s="2"/>
      <c r="B73" s="359" t="s">
        <v>63</v>
      </c>
      <c r="C73" s="359"/>
      <c r="D73" s="359"/>
      <c r="E73" s="359"/>
      <c r="F73" s="359"/>
      <c r="G73" s="359"/>
      <c r="H73" s="359"/>
      <c r="I73" s="359"/>
      <c r="J73" s="359"/>
      <c r="K73" s="359"/>
      <c r="L73" s="359"/>
      <c r="M73" s="359"/>
      <c r="N73" s="359"/>
    </row>
    <row r="74" spans="1:14" s="1" customFormat="1" x14ac:dyDescent="0.4">
      <c r="B74" s="359" t="s">
        <v>64</v>
      </c>
      <c r="C74" s="359"/>
      <c r="D74" s="359"/>
      <c r="E74" s="359"/>
      <c r="F74" s="359"/>
      <c r="G74" s="359"/>
      <c r="H74" s="359"/>
      <c r="I74" s="359"/>
      <c r="J74" s="359"/>
      <c r="K74" s="359"/>
      <c r="L74" s="359"/>
      <c r="M74" s="359"/>
      <c r="N74" s="359"/>
    </row>
    <row r="75" spans="1:14" x14ac:dyDescent="0.4">
      <c r="A75" s="2"/>
      <c r="B75" s="359" t="s">
        <v>80</v>
      </c>
      <c r="C75" s="359"/>
      <c r="D75" s="359"/>
      <c r="E75" s="359"/>
      <c r="F75" s="359"/>
      <c r="G75" s="359"/>
      <c r="H75" s="359"/>
      <c r="I75" s="359"/>
      <c r="J75" s="359"/>
      <c r="K75" s="359"/>
      <c r="L75" s="359"/>
      <c r="M75" s="359"/>
      <c r="N75" s="359"/>
    </row>
    <row r="76" spans="1:14" x14ac:dyDescent="0.4">
      <c r="A76" s="2"/>
      <c r="B76" s="359" t="s">
        <v>65</v>
      </c>
      <c r="C76" s="359"/>
      <c r="D76" s="359"/>
      <c r="E76" s="359"/>
      <c r="F76" s="359"/>
      <c r="G76" s="359"/>
      <c r="H76" s="359"/>
      <c r="I76" s="359"/>
      <c r="J76" s="359"/>
      <c r="K76" s="359"/>
      <c r="L76" s="359"/>
      <c r="M76" s="359"/>
      <c r="N76" s="359"/>
    </row>
    <row r="77" spans="1:14" x14ac:dyDescent="0.4">
      <c r="A77" s="2"/>
      <c r="B77" s="49"/>
      <c r="C77" s="49"/>
      <c r="D77" s="49"/>
      <c r="E77" s="49"/>
      <c r="F77" s="49"/>
      <c r="G77" s="13"/>
      <c r="H77" s="13"/>
      <c r="I77" s="13"/>
      <c r="J77" s="13"/>
      <c r="K77" s="13"/>
      <c r="L77" s="13"/>
      <c r="M77" s="13"/>
      <c r="N77" s="13"/>
    </row>
    <row r="78" spans="1:14" x14ac:dyDescent="0.4">
      <c r="A78" s="9">
        <v>13</v>
      </c>
      <c r="B78" s="405" t="s">
        <v>66</v>
      </c>
      <c r="C78" s="406"/>
      <c r="D78" s="406"/>
      <c r="E78" s="406"/>
      <c r="F78" s="406"/>
      <c r="G78" s="376"/>
      <c r="H78" s="11"/>
      <c r="I78" s="11"/>
      <c r="J78" s="11"/>
      <c r="K78" s="11"/>
      <c r="L78" s="11"/>
      <c r="M78" s="11"/>
      <c r="N78" s="11"/>
    </row>
    <row r="79" spans="1:14" x14ac:dyDescent="0.4">
      <c r="A79" s="9"/>
      <c r="C79" s="15"/>
      <c r="D79" s="15"/>
      <c r="E79" s="15"/>
      <c r="F79" s="15"/>
      <c r="G79" s="15"/>
      <c r="H79" s="15"/>
      <c r="I79" s="15"/>
      <c r="J79" s="15"/>
      <c r="K79" s="15"/>
      <c r="L79" s="15"/>
      <c r="M79" s="15"/>
      <c r="N79" s="15"/>
    </row>
    <row r="80" spans="1:14" ht="64.05" x14ac:dyDescent="0.4">
      <c r="A80" s="2"/>
      <c r="B80" s="50" t="s">
        <v>67</v>
      </c>
      <c r="C80" s="18" t="s">
        <v>68</v>
      </c>
      <c r="D80" s="18" t="s">
        <v>69</v>
      </c>
      <c r="E80" s="18" t="s">
        <v>218</v>
      </c>
      <c r="F80" s="18" t="s">
        <v>299</v>
      </c>
      <c r="G80" s="18" t="s">
        <v>107</v>
      </c>
      <c r="H80" s="13"/>
      <c r="I80" s="13"/>
      <c r="J80" s="13"/>
      <c r="K80" s="13"/>
      <c r="L80" s="13"/>
      <c r="M80" s="13"/>
      <c r="N80" s="13"/>
    </row>
    <row r="81" spans="1:14" ht="12.7" customHeight="1" x14ac:dyDescent="0.35">
      <c r="A81" s="2"/>
      <c r="B81" s="394" t="s">
        <v>72</v>
      </c>
      <c r="C81" s="3" t="s">
        <v>300</v>
      </c>
      <c r="D81" s="65">
        <v>6.58</v>
      </c>
      <c r="E81" s="66">
        <v>1.89</v>
      </c>
      <c r="F81" s="66">
        <v>0.23</v>
      </c>
      <c r="G81" s="21">
        <v>-0.21</v>
      </c>
      <c r="H81" s="53"/>
      <c r="I81" s="53"/>
      <c r="J81" s="53"/>
      <c r="K81" s="53"/>
      <c r="L81" s="53"/>
      <c r="M81" s="53"/>
      <c r="N81" s="53"/>
    </row>
    <row r="82" spans="1:14" x14ac:dyDescent="0.4">
      <c r="A82" s="2"/>
      <c r="B82" s="394"/>
      <c r="C82" s="3" t="s">
        <v>73</v>
      </c>
      <c r="D82" s="76" t="s">
        <v>84</v>
      </c>
      <c r="E82" s="66"/>
      <c r="F82" s="66"/>
      <c r="G82" s="21"/>
      <c r="H82" s="53"/>
      <c r="I82" s="53"/>
      <c r="J82" s="53"/>
      <c r="K82" s="53"/>
      <c r="L82" s="53"/>
      <c r="M82" s="53"/>
      <c r="N82" s="53"/>
    </row>
    <row r="83" spans="1:14" x14ac:dyDescent="0.4">
      <c r="A83" s="2"/>
      <c r="B83" s="394"/>
      <c r="C83" s="21" t="s">
        <v>301</v>
      </c>
      <c r="D83" s="76">
        <v>3.2</v>
      </c>
      <c r="E83" s="66">
        <v>2.2999999999999998</v>
      </c>
      <c r="F83" s="66">
        <v>2.41</v>
      </c>
      <c r="G83" s="21">
        <v>1.71</v>
      </c>
      <c r="H83" s="53"/>
      <c r="I83" s="53"/>
      <c r="J83" s="53"/>
      <c r="K83" s="53"/>
      <c r="L83" s="53"/>
      <c r="M83" s="53"/>
      <c r="N83" s="53"/>
    </row>
    <row r="84" spans="1:14" x14ac:dyDescent="0.4">
      <c r="A84" s="2"/>
      <c r="B84" s="394"/>
      <c r="C84" s="21" t="s">
        <v>273</v>
      </c>
      <c r="D84" s="76">
        <v>1.8</v>
      </c>
      <c r="E84" s="66">
        <v>25.15</v>
      </c>
      <c r="F84" s="66">
        <v>9.23</v>
      </c>
      <c r="G84" s="21">
        <v>12.61</v>
      </c>
      <c r="H84" s="53"/>
      <c r="I84" s="53"/>
      <c r="J84" s="53"/>
      <c r="K84" s="53"/>
      <c r="L84" s="53"/>
      <c r="M84" s="53"/>
      <c r="N84" s="53"/>
    </row>
    <row r="85" spans="1:14" x14ac:dyDescent="0.4">
      <c r="A85" s="2"/>
      <c r="B85" s="394"/>
      <c r="C85" s="21" t="s">
        <v>302</v>
      </c>
      <c r="D85" s="76"/>
      <c r="E85" s="66">
        <v>2.29</v>
      </c>
      <c r="F85" s="66">
        <v>3.53</v>
      </c>
      <c r="G85" s="21">
        <v>0.79</v>
      </c>
      <c r="H85" s="53"/>
      <c r="I85" s="53"/>
      <c r="J85" s="53"/>
      <c r="K85" s="53"/>
      <c r="L85" s="53"/>
      <c r="M85" s="53"/>
      <c r="N85" s="53"/>
    </row>
    <row r="86" spans="1:14" x14ac:dyDescent="0.4">
      <c r="A86" s="2"/>
      <c r="B86" s="394"/>
      <c r="C86" s="21" t="s">
        <v>303</v>
      </c>
      <c r="D86" s="76">
        <v>12.8</v>
      </c>
      <c r="E86" s="66">
        <v>7.12</v>
      </c>
      <c r="F86" s="66">
        <v>4.51</v>
      </c>
      <c r="G86" s="21">
        <v>2.13</v>
      </c>
      <c r="H86" s="53"/>
      <c r="I86" s="53"/>
      <c r="J86" s="53"/>
      <c r="K86" s="53"/>
      <c r="L86" s="53"/>
      <c r="M86" s="53"/>
      <c r="N86" s="53"/>
    </row>
    <row r="87" spans="1:14" x14ac:dyDescent="0.4">
      <c r="A87" s="2"/>
      <c r="B87" s="394"/>
      <c r="C87" s="3" t="s">
        <v>74</v>
      </c>
      <c r="D87" s="76"/>
      <c r="E87" s="130">
        <f>SUM(E83:E86)/4</f>
        <v>9.2149999999999999</v>
      </c>
      <c r="F87" s="79">
        <f>SUM(F83:F86)/4</f>
        <v>4.92</v>
      </c>
      <c r="G87" s="79">
        <f>SUM(G83:G86)/4</f>
        <v>4.3099999999999996</v>
      </c>
      <c r="H87" s="53"/>
      <c r="I87" s="53"/>
      <c r="J87" s="53"/>
      <c r="K87" s="53"/>
      <c r="L87" s="53"/>
      <c r="M87" s="53"/>
      <c r="N87" s="53"/>
    </row>
    <row r="88" spans="1:14" x14ac:dyDescent="0.35">
      <c r="A88" s="2"/>
      <c r="B88" s="394" t="s">
        <v>75</v>
      </c>
      <c r="C88" s="3" t="s">
        <v>300</v>
      </c>
      <c r="D88" s="77">
        <v>6.08</v>
      </c>
      <c r="E88" s="66">
        <v>20.100000000000001</v>
      </c>
      <c r="F88" s="66">
        <v>143.47999999999999</v>
      </c>
      <c r="G88" s="120">
        <f>L69/G81</f>
        <v>-40.952380952380949</v>
      </c>
      <c r="H88" s="53"/>
      <c r="I88" s="53"/>
      <c r="J88" s="53"/>
      <c r="K88" s="53"/>
      <c r="L88" s="53"/>
      <c r="M88" s="53"/>
      <c r="N88" s="53"/>
    </row>
    <row r="89" spans="1:14" x14ac:dyDescent="0.4">
      <c r="A89" s="2"/>
      <c r="B89" s="394"/>
      <c r="C89" s="3" t="s">
        <v>73</v>
      </c>
      <c r="D89" s="76" t="s">
        <v>84</v>
      </c>
      <c r="E89" s="66"/>
      <c r="F89" s="66"/>
      <c r="G89" s="21"/>
      <c r="H89" s="53"/>
      <c r="I89" s="53"/>
      <c r="J89" s="53"/>
      <c r="K89" s="53"/>
      <c r="L89" s="53"/>
      <c r="M89" s="53"/>
      <c r="N89" s="53"/>
    </row>
    <row r="90" spans="1:14" x14ac:dyDescent="0.4">
      <c r="A90" s="2"/>
      <c r="B90" s="394"/>
      <c r="C90" s="21" t="s">
        <v>301</v>
      </c>
      <c r="D90" s="76">
        <v>7.5</v>
      </c>
      <c r="E90" s="66">
        <v>11.85</v>
      </c>
      <c r="F90" s="70">
        <f>28.25/F83</f>
        <v>11.721991701244812</v>
      </c>
      <c r="G90" s="120">
        <f>16.65/G83</f>
        <v>9.7368421052631575</v>
      </c>
      <c r="H90" s="53"/>
      <c r="I90" s="53"/>
      <c r="J90" s="53"/>
      <c r="K90" s="53"/>
      <c r="L90" s="53"/>
      <c r="M90" s="53"/>
      <c r="N90" s="53"/>
    </row>
    <row r="91" spans="1:14" x14ac:dyDescent="0.4">
      <c r="A91" s="2"/>
      <c r="B91" s="394"/>
      <c r="C91" s="21" t="s">
        <v>273</v>
      </c>
      <c r="D91" s="76">
        <v>20.6</v>
      </c>
      <c r="E91" s="66">
        <v>15.14</v>
      </c>
      <c r="F91" s="21">
        <v>49.91</v>
      </c>
      <c r="G91" s="120">
        <f>460.65/G84</f>
        <v>36.530531324345759</v>
      </c>
      <c r="H91" s="53"/>
      <c r="I91" s="53"/>
      <c r="J91" s="53"/>
      <c r="K91" s="53"/>
      <c r="L91" s="53"/>
      <c r="M91" s="53"/>
      <c r="N91" s="53"/>
    </row>
    <row r="92" spans="1:14" x14ac:dyDescent="0.4">
      <c r="A92" s="2"/>
      <c r="B92" s="394"/>
      <c r="C92" s="21" t="s">
        <v>302</v>
      </c>
      <c r="D92" s="76">
        <v>10.6</v>
      </c>
      <c r="E92" s="66">
        <v>21.61</v>
      </c>
      <c r="F92" s="70">
        <f>124.9/F85</f>
        <v>35.38243626062323</v>
      </c>
      <c r="G92" s="120">
        <f>18.8/G85</f>
        <v>23.797468354430379</v>
      </c>
      <c r="H92" s="53"/>
      <c r="I92" s="53"/>
      <c r="J92" s="53"/>
      <c r="K92" s="53"/>
      <c r="L92" s="53"/>
      <c r="M92" s="53"/>
      <c r="N92" s="53"/>
    </row>
    <row r="93" spans="1:14" x14ac:dyDescent="0.4">
      <c r="A93" s="2"/>
      <c r="B93" s="394"/>
      <c r="C93" s="21" t="s">
        <v>303</v>
      </c>
      <c r="D93" s="76">
        <v>13.7</v>
      </c>
      <c r="E93" s="66">
        <v>31.96</v>
      </c>
      <c r="F93" s="70">
        <f>153.9/F86</f>
        <v>34.124168514412418</v>
      </c>
      <c r="G93" s="120">
        <f>115.1/G86</f>
        <v>54.037558685446008</v>
      </c>
      <c r="H93" s="53"/>
      <c r="I93" s="53"/>
      <c r="J93" s="53"/>
      <c r="K93" s="53"/>
      <c r="L93" s="53"/>
      <c r="M93" s="53"/>
      <c r="N93" s="53"/>
    </row>
    <row r="94" spans="1:14" x14ac:dyDescent="0.4">
      <c r="A94" s="2"/>
      <c r="B94" s="394"/>
      <c r="C94" s="3" t="s">
        <v>74</v>
      </c>
      <c r="D94" s="127">
        <f>SUM(D90:D93)/4</f>
        <v>13.100000000000001</v>
      </c>
      <c r="E94" s="128">
        <f>SUM(E90:E93)/4</f>
        <v>20.14</v>
      </c>
      <c r="F94" s="128">
        <f>SUM(F90:F93)/4</f>
        <v>32.78464911907011</v>
      </c>
      <c r="G94" s="128">
        <f>SUM(G90:G93)/4</f>
        <v>31.025600117371326</v>
      </c>
      <c r="H94" s="53"/>
      <c r="I94" s="53"/>
      <c r="J94" s="53"/>
      <c r="K94" s="53"/>
      <c r="L94" s="53"/>
      <c r="M94" s="53"/>
      <c r="N94" s="53"/>
    </row>
    <row r="95" spans="1:14" x14ac:dyDescent="0.35">
      <c r="A95" s="2"/>
      <c r="B95" s="394" t="s">
        <v>76</v>
      </c>
      <c r="C95" s="3" t="s">
        <v>300</v>
      </c>
      <c r="D95" s="65">
        <v>39.700000000000003</v>
      </c>
      <c r="E95" s="66">
        <v>14.08</v>
      </c>
      <c r="F95" s="91">
        <v>1.78E-2</v>
      </c>
      <c r="G95" s="120">
        <f>-1493363/88866212*100</f>
        <v>-1.6804620860850918</v>
      </c>
      <c r="H95" s="53"/>
      <c r="I95" s="53"/>
      <c r="J95" s="53"/>
      <c r="K95" s="53"/>
      <c r="L95" s="53"/>
      <c r="M95" s="53"/>
      <c r="N95" s="53"/>
    </row>
    <row r="96" spans="1:14" x14ac:dyDescent="0.4">
      <c r="A96" s="2"/>
      <c r="B96" s="394"/>
      <c r="C96" s="3" t="s">
        <v>73</v>
      </c>
      <c r="D96" s="76" t="s">
        <v>84</v>
      </c>
      <c r="E96" s="66"/>
      <c r="F96" s="66"/>
      <c r="G96" s="21"/>
      <c r="H96" s="53"/>
      <c r="I96" s="53"/>
      <c r="J96" s="53"/>
      <c r="K96" s="53"/>
      <c r="L96" s="53"/>
      <c r="M96" s="53"/>
      <c r="N96" s="53"/>
    </row>
    <row r="97" spans="1:14" x14ac:dyDescent="0.4">
      <c r="A97" s="2"/>
      <c r="B97" s="394"/>
      <c r="C97" s="21" t="s">
        <v>301</v>
      </c>
      <c r="D97" s="76">
        <v>2.7</v>
      </c>
      <c r="E97" s="66">
        <v>5.12</v>
      </c>
      <c r="F97" s="71">
        <f>313.02/6238.41</f>
        <v>5.0176246832125494E-2</v>
      </c>
      <c r="G97" s="120">
        <f>295.95/6534.37*100</f>
        <v>4.5291282862770244</v>
      </c>
      <c r="H97" s="53"/>
      <c r="I97" s="53"/>
      <c r="J97" s="53"/>
      <c r="K97" s="53"/>
      <c r="L97" s="53"/>
      <c r="M97" s="53"/>
      <c r="N97" s="53"/>
    </row>
    <row r="98" spans="1:14" x14ac:dyDescent="0.4">
      <c r="A98" s="2"/>
      <c r="B98" s="394"/>
      <c r="C98" s="21" t="s">
        <v>273</v>
      </c>
      <c r="D98" s="76">
        <v>42</v>
      </c>
      <c r="E98" s="66">
        <v>8.8699999999999992</v>
      </c>
      <c r="F98" s="71">
        <f>12359.22/160263.62</f>
        <v>7.7118063350871513E-2</v>
      </c>
      <c r="G98" s="120">
        <f>18454.95/292475.47*100</f>
        <v>6.3099137852483844</v>
      </c>
      <c r="H98" s="53"/>
      <c r="I98" s="53"/>
      <c r="J98" s="53"/>
      <c r="K98" s="53"/>
      <c r="L98" s="53"/>
      <c r="M98" s="53"/>
      <c r="N98" s="53"/>
    </row>
    <row r="99" spans="1:14" x14ac:dyDescent="0.4">
      <c r="A99" s="2"/>
      <c r="B99" s="394"/>
      <c r="C99" s="21" t="s">
        <v>302</v>
      </c>
      <c r="D99" s="76">
        <v>13.7</v>
      </c>
      <c r="E99" s="66">
        <v>9.25</v>
      </c>
      <c r="F99" s="122">
        <v>1.4200000000000001E-2</v>
      </c>
      <c r="G99" s="120">
        <f>-837.39/9180.75*100</f>
        <v>-9.1211502328241156</v>
      </c>
      <c r="H99" s="53"/>
      <c r="I99" s="53"/>
      <c r="J99" s="53"/>
      <c r="K99" s="53"/>
      <c r="L99" s="53"/>
      <c r="M99" s="53"/>
      <c r="N99" s="53"/>
    </row>
    <row r="100" spans="1:14" x14ac:dyDescent="0.4">
      <c r="A100" s="2"/>
      <c r="B100" s="394"/>
      <c r="C100" s="21" t="s">
        <v>303</v>
      </c>
      <c r="D100" s="76">
        <v>9.6999999999999993</v>
      </c>
      <c r="E100" s="66">
        <v>10.07</v>
      </c>
      <c r="F100" s="71">
        <f>3874/76646</f>
        <v>5.0544059703050384E-2</v>
      </c>
      <c r="G100" s="120">
        <f>1767/78516*100</f>
        <v>2.250496714045545</v>
      </c>
      <c r="H100" s="53"/>
      <c r="I100" s="53"/>
      <c r="J100" s="53"/>
      <c r="K100" s="53"/>
      <c r="L100" s="53"/>
      <c r="M100" s="53"/>
      <c r="N100" s="53"/>
    </row>
    <row r="101" spans="1:14" x14ac:dyDescent="0.4">
      <c r="A101" s="2"/>
      <c r="B101" s="394"/>
      <c r="C101" s="3" t="s">
        <v>74</v>
      </c>
      <c r="D101" s="127">
        <f>SUM(D97:D100)/4</f>
        <v>17.025000000000002</v>
      </c>
      <c r="E101" s="128">
        <f>SUM(E97:E100)/4</f>
        <v>8.3275000000000006</v>
      </c>
      <c r="F101" s="128">
        <f>SUM(F97:F100)/4</f>
        <v>4.8009592471511847E-2</v>
      </c>
      <c r="G101" s="128">
        <f>SUM(G97:G100)/4</f>
        <v>0.99209713818670953</v>
      </c>
      <c r="H101" s="53"/>
      <c r="I101" s="53"/>
      <c r="J101" s="53"/>
      <c r="K101" s="57"/>
      <c r="L101" s="53"/>
      <c r="M101" s="53"/>
      <c r="N101" s="53"/>
    </row>
    <row r="102" spans="1:14" x14ac:dyDescent="0.35">
      <c r="A102" s="2"/>
      <c r="B102" s="394" t="s">
        <v>77</v>
      </c>
      <c r="C102" s="3" t="s">
        <v>300</v>
      </c>
      <c r="D102" s="65">
        <v>331.72</v>
      </c>
      <c r="E102" s="66">
        <v>13.4</v>
      </c>
      <c r="F102" s="66">
        <v>12.84</v>
      </c>
      <c r="G102" s="120">
        <f>88866212/7040040</f>
        <v>12.62296975585366</v>
      </c>
      <c r="H102" s="53"/>
      <c r="I102" s="53"/>
      <c r="J102" s="53"/>
      <c r="K102" s="53"/>
      <c r="L102" s="53"/>
      <c r="M102" s="53"/>
      <c r="N102" s="53"/>
    </row>
    <row r="103" spans="1:14" x14ac:dyDescent="0.4">
      <c r="A103" s="2"/>
      <c r="B103" s="394"/>
      <c r="C103" s="3" t="s">
        <v>73</v>
      </c>
      <c r="D103" s="76" t="s">
        <v>84</v>
      </c>
      <c r="E103" s="66"/>
      <c r="F103" s="66"/>
      <c r="G103" s="21"/>
      <c r="H103" s="53"/>
      <c r="I103" s="53"/>
      <c r="J103" s="53"/>
      <c r="K103" s="53"/>
      <c r="L103" s="53"/>
      <c r="M103" s="53"/>
      <c r="N103" s="53"/>
    </row>
    <row r="104" spans="1:14" x14ac:dyDescent="0.4">
      <c r="A104" s="2"/>
      <c r="B104" s="411"/>
      <c r="C104" s="21" t="s">
        <v>301</v>
      </c>
      <c r="D104" s="76">
        <v>43.9</v>
      </c>
      <c r="E104" s="66">
        <v>45.6</v>
      </c>
      <c r="F104" s="70">
        <f>6238.41/129.93</f>
        <v>48.013622719926111</v>
      </c>
      <c r="G104" s="120">
        <f>6534.37*100000/17321900</f>
        <v>37.723171245648572</v>
      </c>
      <c r="H104" s="53"/>
      <c r="I104" s="53"/>
      <c r="J104" s="53"/>
      <c r="K104" s="53"/>
      <c r="L104" s="53"/>
      <c r="M104" s="53"/>
      <c r="N104" s="53"/>
    </row>
    <row r="105" spans="1:14" x14ac:dyDescent="0.4">
      <c r="A105" s="2"/>
      <c r="B105" s="411"/>
      <c r="C105" s="21" t="s">
        <v>273</v>
      </c>
      <c r="D105" s="76">
        <v>22.6</v>
      </c>
      <c r="E105" s="66">
        <v>149.69</v>
      </c>
      <c r="F105" s="120">
        <f>27078033000/146344861</f>
        <v>185.02892971417697</v>
      </c>
      <c r="G105" s="120">
        <f>29247547000/146344861</f>
        <v>199.85359786566062</v>
      </c>
      <c r="H105" s="53"/>
      <c r="I105" s="53"/>
      <c r="J105" s="53"/>
      <c r="K105" s="53"/>
      <c r="L105" s="53"/>
      <c r="M105" s="53"/>
      <c r="N105" s="53"/>
    </row>
    <row r="106" spans="1:14" x14ac:dyDescent="0.4">
      <c r="A106" s="2"/>
      <c r="B106" s="411"/>
      <c r="C106" s="21" t="s">
        <v>302</v>
      </c>
      <c r="D106" s="76">
        <v>112</v>
      </c>
      <c r="E106" s="66">
        <v>24.77</v>
      </c>
      <c r="F106" s="70">
        <f>2708.74/104.72</f>
        <v>25.86650114591291</v>
      </c>
      <c r="G106" s="120">
        <f>281046186/10472000</f>
        <v>26.837871084797555</v>
      </c>
      <c r="H106" s="53"/>
      <c r="I106" s="53"/>
      <c r="J106" s="53"/>
      <c r="K106" s="53"/>
      <c r="L106" s="53"/>
      <c r="M106" s="53"/>
      <c r="N106" s="53"/>
    </row>
    <row r="107" spans="1:14" x14ac:dyDescent="0.4">
      <c r="A107" s="2"/>
      <c r="B107" s="411"/>
      <c r="C107" s="21" t="s">
        <v>303</v>
      </c>
      <c r="D107" s="76">
        <v>50.9</v>
      </c>
      <c r="E107" s="66">
        <v>70.680000000000007</v>
      </c>
      <c r="F107" s="70">
        <f>76646/1023.5</f>
        <v>74.886174890083055</v>
      </c>
      <c r="G107" s="120">
        <f>78516*100000/204704198</f>
        <v>38.355832839344117</v>
      </c>
      <c r="H107" s="53"/>
      <c r="I107" s="53"/>
      <c r="J107" s="53"/>
      <c r="K107" s="53"/>
      <c r="L107" s="53"/>
      <c r="M107" s="53"/>
      <c r="N107" s="53"/>
    </row>
    <row r="108" spans="1:14" x14ac:dyDescent="0.4">
      <c r="A108" s="2"/>
      <c r="B108" s="411"/>
      <c r="C108" s="3" t="s">
        <v>74</v>
      </c>
      <c r="D108" s="132">
        <f>SUM(D104:D107)/4</f>
        <v>57.35</v>
      </c>
      <c r="E108" s="130">
        <f>SUM(E104:E107)/4</f>
        <v>72.685000000000002</v>
      </c>
      <c r="F108" s="130">
        <f>SUM(F104:F107)/4</f>
        <v>83.448807117524765</v>
      </c>
      <c r="G108" s="130">
        <f>SUM(G104:G107)/4</f>
        <v>75.692618258862723</v>
      </c>
      <c r="H108" s="53"/>
      <c r="I108" s="53"/>
      <c r="J108" s="53"/>
      <c r="K108" s="53"/>
      <c r="L108" s="53"/>
      <c r="M108" s="53"/>
      <c r="N108" s="53"/>
    </row>
    <row r="109" spans="1:14" s="1" customFormat="1" x14ac:dyDescent="0.4">
      <c r="B109" s="412"/>
      <c r="C109" s="413"/>
      <c r="D109" s="413"/>
      <c r="E109" s="413"/>
      <c r="F109" s="413"/>
      <c r="G109" s="414"/>
      <c r="I109" s="53"/>
    </row>
    <row r="110" spans="1:14" x14ac:dyDescent="0.4">
      <c r="A110" s="2"/>
      <c r="B110" s="415" t="s">
        <v>257</v>
      </c>
      <c r="C110" s="416"/>
      <c r="D110" s="416"/>
      <c r="E110" s="416"/>
      <c r="F110" s="416"/>
      <c r="G110" s="417"/>
      <c r="H110" s="53"/>
      <c r="I110" s="53"/>
      <c r="J110" s="53"/>
      <c r="K110" s="53"/>
      <c r="L110" s="53"/>
      <c r="M110" s="53"/>
      <c r="N110" s="53"/>
    </row>
    <row r="111" spans="1:14" x14ac:dyDescent="0.4">
      <c r="A111" s="2"/>
      <c r="B111" s="418" t="s">
        <v>85</v>
      </c>
      <c r="C111" s="419"/>
      <c r="D111" s="419"/>
      <c r="E111" s="419"/>
      <c r="F111" s="419"/>
      <c r="G111" s="420"/>
      <c r="H111" s="53"/>
      <c r="I111" s="53"/>
      <c r="J111" s="53"/>
      <c r="K111" s="53"/>
      <c r="L111" s="53"/>
      <c r="M111" s="53"/>
      <c r="N111" s="53"/>
    </row>
    <row r="112" spans="1:14" x14ac:dyDescent="0.4">
      <c r="A112" s="2"/>
      <c r="B112" s="363" t="s">
        <v>304</v>
      </c>
      <c r="C112" s="368"/>
      <c r="D112" s="368"/>
      <c r="E112" s="368"/>
      <c r="F112" s="368"/>
      <c r="G112" s="369"/>
      <c r="H112" s="53"/>
      <c r="I112" s="53"/>
      <c r="J112" s="53"/>
      <c r="K112" s="53"/>
      <c r="L112" s="53"/>
      <c r="M112" s="53"/>
      <c r="N112" s="53"/>
    </row>
    <row r="113" spans="1:9" x14ac:dyDescent="0.4">
      <c r="C113" s="407"/>
      <c r="D113" s="407"/>
      <c r="E113" s="407"/>
      <c r="F113" s="407"/>
      <c r="G113" s="407"/>
      <c r="H113" s="53"/>
      <c r="I113" s="53"/>
    </row>
    <row r="114" spans="1:9" x14ac:dyDescent="0.4">
      <c r="A114" s="9">
        <v>14</v>
      </c>
      <c r="B114" s="61" t="s">
        <v>78</v>
      </c>
      <c r="C114" s="356" t="s">
        <v>41</v>
      </c>
      <c r="D114" s="357"/>
      <c r="E114" s="357"/>
      <c r="F114" s="357"/>
      <c r="G114" s="408"/>
    </row>
    <row r="115" spans="1:9" x14ac:dyDescent="0.4">
      <c r="A115" s="23"/>
      <c r="C115" s="69"/>
      <c r="D115" s="69"/>
      <c r="E115" s="69"/>
      <c r="F115" s="69"/>
      <c r="G115" s="69"/>
    </row>
    <row r="116" spans="1:9" x14ac:dyDescent="0.4">
      <c r="B116" s="409" t="s">
        <v>276</v>
      </c>
      <c r="C116" s="410"/>
      <c r="D116" s="410"/>
      <c r="E116" s="410"/>
      <c r="F116" s="410"/>
      <c r="G116" s="410"/>
      <c r="H116" s="410"/>
    </row>
  </sheetData>
  <sheetProtection password="E9DF" sheet="1" objects="1" scenarios="1"/>
  <mergeCells count="58">
    <mergeCell ref="B88:B94"/>
    <mergeCell ref="B95:B101"/>
    <mergeCell ref="B102:B108"/>
    <mergeCell ref="B116:H116"/>
    <mergeCell ref="B109:G109"/>
    <mergeCell ref="B110:G110"/>
    <mergeCell ref="B111:G111"/>
    <mergeCell ref="B112:G112"/>
    <mergeCell ref="C113:G113"/>
    <mergeCell ref="C114:G114"/>
    <mergeCell ref="B74:N74"/>
    <mergeCell ref="B75:N75"/>
    <mergeCell ref="B76:N76"/>
    <mergeCell ref="B78:G78"/>
    <mergeCell ref="B81:B87"/>
    <mergeCell ref="B73:N73"/>
    <mergeCell ref="C56:E56"/>
    <mergeCell ref="C57:E57"/>
    <mergeCell ref="B58:E58"/>
    <mergeCell ref="C61:E61"/>
    <mergeCell ref="B67:B68"/>
    <mergeCell ref="C67:C68"/>
    <mergeCell ref="D67:D68"/>
    <mergeCell ref="E67:E68"/>
    <mergeCell ref="F67:H67"/>
    <mergeCell ref="I67:K67"/>
    <mergeCell ref="L67:N67"/>
    <mergeCell ref="B71:N71"/>
    <mergeCell ref="B72:N72"/>
    <mergeCell ref="B54:B55"/>
    <mergeCell ref="C54:E55"/>
    <mergeCell ref="B35:E35"/>
    <mergeCell ref="B39:C39"/>
    <mergeCell ref="B42:E42"/>
    <mergeCell ref="C43:E43"/>
    <mergeCell ref="C44:E44"/>
    <mergeCell ref="C45:E45"/>
    <mergeCell ref="B46:E46"/>
    <mergeCell ref="B48:E48"/>
    <mergeCell ref="B51:E51"/>
    <mergeCell ref="B53:E53"/>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pageSetup paperSize="9" orientation="portrait"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17"/>
  <sheetViews>
    <sheetView topLeftCell="E52" workbookViewId="0">
      <selection activeCell="C49" sqref="C49"/>
    </sheetView>
  </sheetViews>
  <sheetFormatPr defaultColWidth="8.84375" defaultRowHeight="13.25" x14ac:dyDescent="0.4"/>
  <cols>
    <col min="1" max="1" width="8.84375" style="8"/>
    <col min="2" max="2" width="40.3046875" style="8" customWidth="1"/>
    <col min="3" max="3" width="40.84375" style="8" customWidth="1"/>
    <col min="4" max="4" width="25.30468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305</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306</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142</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243</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263</v>
      </c>
      <c r="E28" s="18" t="s">
        <v>23</v>
      </c>
      <c r="F28" s="15"/>
    </row>
    <row r="29" spans="1:14" x14ac:dyDescent="0.4">
      <c r="A29" s="9"/>
      <c r="B29" s="19" t="s">
        <v>24</v>
      </c>
      <c r="C29" s="21">
        <v>2596.63</v>
      </c>
      <c r="D29" s="21">
        <v>3450.89</v>
      </c>
      <c r="E29" s="119">
        <v>1889.34</v>
      </c>
      <c r="F29" s="15"/>
    </row>
    <row r="30" spans="1:14" x14ac:dyDescent="0.4">
      <c r="A30" s="9"/>
      <c r="B30" s="19" t="s">
        <v>25</v>
      </c>
      <c r="C30" s="21">
        <v>36.5</v>
      </c>
      <c r="D30" s="21">
        <v>112.04</v>
      </c>
      <c r="E30" s="96">
        <v>131.74</v>
      </c>
      <c r="F30" s="15"/>
    </row>
    <row r="31" spans="1:14" x14ac:dyDescent="0.4">
      <c r="A31" s="9"/>
      <c r="B31" s="19" t="s">
        <v>26</v>
      </c>
      <c r="C31" s="21">
        <v>760.4</v>
      </c>
      <c r="D31" s="21">
        <v>760.4</v>
      </c>
      <c r="E31" s="119">
        <v>1217.5999999999999</v>
      </c>
      <c r="F31" s="15"/>
    </row>
    <row r="32" spans="1:14" x14ac:dyDescent="0.4">
      <c r="A32" s="9"/>
      <c r="B32" s="19" t="s">
        <v>27</v>
      </c>
      <c r="C32" s="21">
        <v>627.66999999999996</v>
      </c>
      <c r="D32" s="21">
        <v>739.71</v>
      </c>
      <c r="E32" s="119">
        <v>1153.9000000000001</v>
      </c>
      <c r="F32" s="15"/>
    </row>
    <row r="33" spans="1:10" x14ac:dyDescent="0.4">
      <c r="A33" s="9"/>
      <c r="B33" s="363" t="s">
        <v>244</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ht="39.75" customHeight="1" x14ac:dyDescent="0.4">
      <c r="A44" s="9"/>
      <c r="B44" s="17" t="s">
        <v>31</v>
      </c>
      <c r="C44" s="373" t="s">
        <v>731</v>
      </c>
      <c r="D44" s="374"/>
      <c r="E44" s="375"/>
      <c r="F44" s="13"/>
    </row>
    <row r="45" spans="1:10" x14ac:dyDescent="0.4">
      <c r="A45" s="9"/>
      <c r="B45" s="17" t="s">
        <v>32</v>
      </c>
      <c r="C45" s="373" t="s">
        <v>79</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121.5" customHeight="1" x14ac:dyDescent="0.4">
      <c r="A50" s="29"/>
      <c r="B50" s="78" t="s">
        <v>307</v>
      </c>
      <c r="C50" s="78" t="s">
        <v>308</v>
      </c>
      <c r="D50" s="112" t="s">
        <v>687</v>
      </c>
      <c r="E50" s="78" t="s">
        <v>688</v>
      </c>
    </row>
    <row r="51" spans="1:12" x14ac:dyDescent="0.4">
      <c r="A51" s="29"/>
      <c r="B51" s="377"/>
      <c r="C51" s="378"/>
      <c r="D51" s="378"/>
      <c r="E51" s="379"/>
    </row>
    <row r="52" spans="1:12" x14ac:dyDescent="0.4">
      <c r="A52" s="31"/>
      <c r="B52" s="380" t="s">
        <v>757</v>
      </c>
      <c r="C52" s="381"/>
      <c r="D52" s="381"/>
      <c r="E52" s="382"/>
      <c r="F52" s="15"/>
      <c r="G52" s="15"/>
      <c r="H52" s="15"/>
    </row>
    <row r="53" spans="1:12" x14ac:dyDescent="0.4">
      <c r="A53" s="32"/>
      <c r="B53" s="62"/>
      <c r="C53" s="23"/>
      <c r="D53" s="23"/>
      <c r="E53" s="23"/>
      <c r="F53" s="15"/>
      <c r="G53" s="15"/>
      <c r="H53" s="15"/>
      <c r="I53" s="15"/>
    </row>
    <row r="54" spans="1:12" x14ac:dyDescent="0.4">
      <c r="A54" s="24">
        <v>10</v>
      </c>
      <c r="B54" s="376" t="s">
        <v>36</v>
      </c>
      <c r="C54" s="365"/>
      <c r="D54" s="365"/>
      <c r="E54" s="365"/>
      <c r="F54" s="15"/>
      <c r="G54" s="15"/>
      <c r="H54" s="15"/>
    </row>
    <row r="55" spans="1:12" x14ac:dyDescent="0.4">
      <c r="A55" s="29"/>
      <c r="B55" s="383" t="s">
        <v>43</v>
      </c>
      <c r="C55" s="385" t="s">
        <v>310</v>
      </c>
      <c r="D55" s="386"/>
      <c r="E55" s="387"/>
      <c r="K55" s="1"/>
    </row>
    <row r="56" spans="1:12" ht="25.55" customHeight="1" x14ac:dyDescent="0.4">
      <c r="A56" s="29"/>
      <c r="B56" s="384"/>
      <c r="C56" s="388"/>
      <c r="D56" s="389"/>
      <c r="E56" s="390"/>
      <c r="K56" s="1"/>
    </row>
    <row r="57" spans="1:12" ht="44.3" customHeight="1" x14ac:dyDescent="0.4">
      <c r="A57" s="24"/>
      <c r="B57" s="33" t="s">
        <v>44</v>
      </c>
      <c r="C57" s="391" t="s">
        <v>689</v>
      </c>
      <c r="D57" s="391"/>
      <c r="E57" s="391"/>
    </row>
    <row r="58" spans="1:12" ht="32.25" customHeight="1" x14ac:dyDescent="0.4">
      <c r="A58" s="29"/>
      <c r="B58" s="33" t="s">
        <v>45</v>
      </c>
      <c r="C58" s="391" t="s">
        <v>688</v>
      </c>
      <c r="D58" s="391"/>
      <c r="E58" s="391"/>
      <c r="K58" s="34"/>
    </row>
    <row r="59" spans="1:12" x14ac:dyDescent="0.4">
      <c r="A59" s="29"/>
      <c r="B59" s="380" t="s">
        <v>309</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229</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285</v>
      </c>
      <c r="D69" s="366" t="s">
        <v>271</v>
      </c>
      <c r="E69" s="403" t="s">
        <v>232</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30</v>
      </c>
      <c r="D71" s="46">
        <v>28</v>
      </c>
      <c r="E71" s="46">
        <v>28.05</v>
      </c>
      <c r="F71" s="46">
        <v>27.5</v>
      </c>
      <c r="G71" s="46">
        <v>36</v>
      </c>
      <c r="H71" s="46">
        <v>26.5</v>
      </c>
      <c r="I71" s="45">
        <v>27.75</v>
      </c>
      <c r="J71" s="45">
        <v>33.75</v>
      </c>
      <c r="K71" s="45">
        <v>25</v>
      </c>
      <c r="L71" s="45">
        <v>19.600000000000001</v>
      </c>
      <c r="M71" s="45">
        <v>27.75</v>
      </c>
      <c r="N71" s="45">
        <v>13.6</v>
      </c>
    </row>
    <row r="72" spans="1:14" ht="25.65" x14ac:dyDescent="0.35">
      <c r="A72" s="2"/>
      <c r="B72" s="17" t="s">
        <v>104</v>
      </c>
      <c r="C72" s="45">
        <v>8659.1</v>
      </c>
      <c r="D72" s="45">
        <v>8111.6</v>
      </c>
      <c r="E72" s="45">
        <v>8412.7999999999993</v>
      </c>
      <c r="F72" s="46">
        <v>9173.75</v>
      </c>
      <c r="G72" s="46">
        <v>8699.4</v>
      </c>
      <c r="H72" s="46">
        <v>8128.75</v>
      </c>
      <c r="I72" s="46">
        <v>10113.700000000001</v>
      </c>
      <c r="J72" s="46">
        <v>11171.55</v>
      </c>
      <c r="K72" s="48">
        <v>9075.15</v>
      </c>
      <c r="L72" s="45">
        <v>11623.9</v>
      </c>
      <c r="M72" s="45">
        <v>11760.2</v>
      </c>
      <c r="N72" s="45">
        <v>10004.549999999999</v>
      </c>
    </row>
    <row r="73" spans="1:14" x14ac:dyDescent="0.4">
      <c r="A73" s="2"/>
      <c r="B73" s="401" t="s">
        <v>94</v>
      </c>
      <c r="C73" s="401"/>
      <c r="D73" s="401"/>
      <c r="E73" s="401"/>
      <c r="F73" s="401"/>
      <c r="G73" s="401"/>
      <c r="H73" s="401"/>
      <c r="I73" s="401"/>
      <c r="J73" s="401"/>
      <c r="K73" s="401"/>
      <c r="L73" s="401"/>
      <c r="M73" s="401"/>
      <c r="N73" s="401"/>
    </row>
    <row r="74" spans="1:14" x14ac:dyDescent="0.4">
      <c r="A74" s="2"/>
      <c r="B74" s="359" t="s">
        <v>63</v>
      </c>
      <c r="C74" s="359"/>
      <c r="D74" s="359"/>
      <c r="E74" s="359"/>
      <c r="F74" s="359"/>
      <c r="G74" s="359"/>
      <c r="H74" s="359"/>
      <c r="I74" s="359"/>
      <c r="J74" s="359"/>
      <c r="K74" s="359"/>
      <c r="L74" s="359"/>
      <c r="M74" s="359"/>
      <c r="N74" s="359"/>
    </row>
    <row r="75" spans="1:14" s="1" customFormat="1" x14ac:dyDescent="0.4">
      <c r="B75" s="359" t="s">
        <v>64</v>
      </c>
      <c r="C75" s="359"/>
      <c r="D75" s="359"/>
      <c r="E75" s="359"/>
      <c r="F75" s="359"/>
      <c r="G75" s="359"/>
      <c r="H75" s="359"/>
      <c r="I75" s="359"/>
      <c r="J75" s="359"/>
      <c r="K75" s="359"/>
      <c r="L75" s="359"/>
      <c r="M75" s="359"/>
      <c r="N75" s="359"/>
    </row>
    <row r="76" spans="1:14" x14ac:dyDescent="0.4">
      <c r="A76" s="2"/>
      <c r="B76" s="359" t="s">
        <v>80</v>
      </c>
      <c r="C76" s="359"/>
      <c r="D76" s="359"/>
      <c r="E76" s="359"/>
      <c r="F76" s="359"/>
      <c r="G76" s="359"/>
      <c r="H76" s="359"/>
      <c r="I76" s="359"/>
      <c r="J76" s="359"/>
      <c r="K76" s="359"/>
      <c r="L76" s="359"/>
      <c r="M76" s="359"/>
      <c r="N76" s="359"/>
    </row>
    <row r="77" spans="1:14" x14ac:dyDescent="0.4">
      <c r="A77" s="2"/>
      <c r="B77" s="359" t="s">
        <v>65</v>
      </c>
      <c r="C77" s="359"/>
      <c r="D77" s="359"/>
      <c r="E77" s="359"/>
      <c r="F77" s="359"/>
      <c r="G77" s="359"/>
      <c r="H77" s="359"/>
      <c r="I77" s="359"/>
      <c r="J77" s="359"/>
      <c r="K77" s="359"/>
      <c r="L77" s="359"/>
      <c r="M77" s="359"/>
      <c r="N77" s="359"/>
    </row>
    <row r="78" spans="1:14" x14ac:dyDescent="0.4">
      <c r="A78" s="2"/>
      <c r="B78" s="49"/>
      <c r="C78" s="49"/>
      <c r="D78" s="49"/>
      <c r="E78" s="49"/>
      <c r="F78" s="49"/>
      <c r="G78" s="13"/>
      <c r="H78" s="13"/>
      <c r="I78" s="13"/>
      <c r="J78" s="13"/>
      <c r="K78" s="13"/>
      <c r="L78" s="13"/>
      <c r="M78" s="13"/>
      <c r="N78" s="13"/>
    </row>
    <row r="79" spans="1:14" x14ac:dyDescent="0.4">
      <c r="A79" s="9">
        <v>13</v>
      </c>
      <c r="B79" s="405" t="s">
        <v>66</v>
      </c>
      <c r="C79" s="406"/>
      <c r="D79" s="406"/>
      <c r="E79" s="406"/>
      <c r="F79" s="406"/>
      <c r="G79" s="376"/>
      <c r="H79" s="11"/>
      <c r="I79" s="11"/>
      <c r="J79" s="11"/>
      <c r="K79" s="11"/>
      <c r="L79" s="11"/>
      <c r="M79" s="11"/>
      <c r="N79" s="11"/>
    </row>
    <row r="80" spans="1:14" x14ac:dyDescent="0.4">
      <c r="A80" s="9"/>
      <c r="C80" s="15"/>
      <c r="D80" s="15"/>
      <c r="E80" s="15"/>
      <c r="F80" s="15"/>
      <c r="G80" s="15"/>
      <c r="H80" s="15"/>
      <c r="I80" s="15"/>
      <c r="J80" s="15"/>
      <c r="K80" s="15"/>
      <c r="L80" s="15"/>
      <c r="M80" s="15"/>
      <c r="N80" s="15"/>
    </row>
    <row r="81" spans="1:14" ht="51.25" x14ac:dyDescent="0.4">
      <c r="A81" s="2"/>
      <c r="B81" s="50" t="s">
        <v>67</v>
      </c>
      <c r="C81" s="18" t="s">
        <v>68</v>
      </c>
      <c r="D81" s="18" t="s">
        <v>69</v>
      </c>
      <c r="E81" s="18" t="s">
        <v>218</v>
      </c>
      <c r="F81" s="18" t="s">
        <v>299</v>
      </c>
      <c r="G81" s="18" t="s">
        <v>107</v>
      </c>
      <c r="H81" s="13"/>
      <c r="I81" s="13"/>
      <c r="J81" s="13"/>
      <c r="K81" s="13"/>
      <c r="L81" s="13"/>
      <c r="M81" s="13"/>
      <c r="N81" s="13"/>
    </row>
    <row r="82" spans="1:14" ht="12.7" customHeight="1" x14ac:dyDescent="0.35">
      <c r="A82" s="2"/>
      <c r="B82" s="394" t="s">
        <v>72</v>
      </c>
      <c r="C82" s="3" t="s">
        <v>311</v>
      </c>
      <c r="D82" s="65">
        <v>13.54</v>
      </c>
      <c r="E82" s="66">
        <v>0.48</v>
      </c>
      <c r="F82" s="66">
        <v>1.47</v>
      </c>
      <c r="G82" s="21">
        <v>1.28</v>
      </c>
      <c r="H82" s="53"/>
      <c r="I82" s="53"/>
      <c r="J82" s="53"/>
      <c r="K82" s="53"/>
      <c r="L82" s="53"/>
      <c r="M82" s="53"/>
      <c r="N82" s="53"/>
    </row>
    <row r="83" spans="1:14" x14ac:dyDescent="0.4">
      <c r="A83" s="2"/>
      <c r="B83" s="394"/>
      <c r="C83" s="3" t="s">
        <v>73</v>
      </c>
      <c r="D83" s="76" t="s">
        <v>84</v>
      </c>
      <c r="E83" s="66"/>
      <c r="F83" s="66"/>
      <c r="G83" s="21"/>
      <c r="H83" s="53"/>
      <c r="J83" s="53"/>
      <c r="K83" s="53"/>
      <c r="L83" s="53"/>
      <c r="M83" s="53"/>
      <c r="N83" s="53"/>
    </row>
    <row r="84" spans="1:14" x14ac:dyDescent="0.4">
      <c r="A84" s="2"/>
      <c r="B84" s="394"/>
      <c r="C84" s="21" t="s">
        <v>312</v>
      </c>
      <c r="D84" s="76">
        <v>1.4</v>
      </c>
      <c r="E84" s="66">
        <v>5.74</v>
      </c>
      <c r="F84" s="66">
        <v>10.86</v>
      </c>
      <c r="G84" s="21">
        <v>9.2200000000000006</v>
      </c>
      <c r="H84" s="53"/>
      <c r="J84" s="53"/>
      <c r="K84" s="53"/>
      <c r="L84" s="53"/>
      <c r="M84" s="53"/>
      <c r="N84" s="53"/>
    </row>
    <row r="85" spans="1:14" x14ac:dyDescent="0.4">
      <c r="A85" s="2"/>
      <c r="B85" s="394"/>
      <c r="C85" s="21" t="s">
        <v>313</v>
      </c>
      <c r="D85" s="76">
        <v>9.6</v>
      </c>
      <c r="E85" s="66">
        <v>17.18</v>
      </c>
      <c r="F85" s="66">
        <v>21.44</v>
      </c>
      <c r="G85" s="4">
        <v>18.5</v>
      </c>
      <c r="J85" s="53"/>
      <c r="K85" s="53"/>
      <c r="L85" s="53"/>
      <c r="M85" s="53"/>
      <c r="N85" s="53"/>
    </row>
    <row r="86" spans="1:14" x14ac:dyDescent="0.4">
      <c r="A86" s="2"/>
      <c r="B86" s="394"/>
      <c r="C86" s="21" t="s">
        <v>273</v>
      </c>
      <c r="D86" s="76">
        <v>22.2</v>
      </c>
      <c r="E86" s="66">
        <v>25.15</v>
      </c>
      <c r="F86" s="66">
        <v>9.23</v>
      </c>
      <c r="G86" s="21">
        <v>12.61</v>
      </c>
      <c r="J86" s="53"/>
      <c r="K86" s="53"/>
      <c r="L86" s="53"/>
      <c r="M86" s="53"/>
      <c r="N86" s="53"/>
    </row>
    <row r="87" spans="1:14" x14ac:dyDescent="0.4">
      <c r="A87" s="2"/>
      <c r="B87" s="394"/>
      <c r="C87" s="21" t="s">
        <v>303</v>
      </c>
      <c r="D87" s="76">
        <v>12.8</v>
      </c>
      <c r="E87" s="66">
        <v>7.12</v>
      </c>
      <c r="F87" s="66">
        <v>4.51</v>
      </c>
      <c r="G87" s="21">
        <v>2.13</v>
      </c>
      <c r="I87" s="53"/>
      <c r="J87" s="53"/>
      <c r="K87" s="53"/>
      <c r="L87" s="53"/>
      <c r="M87" s="53"/>
      <c r="N87" s="53"/>
    </row>
    <row r="88" spans="1:14" x14ac:dyDescent="0.4">
      <c r="A88" s="2"/>
      <c r="B88" s="394"/>
      <c r="C88" s="3" t="s">
        <v>74</v>
      </c>
      <c r="D88" s="127">
        <f>SUM(D84:D87)/4</f>
        <v>11.5</v>
      </c>
      <c r="E88" s="128">
        <f>SUM(E84:E87)/4</f>
        <v>13.797499999999999</v>
      </c>
      <c r="F88" s="128">
        <f>SUM(F84:F87)/4</f>
        <v>11.51</v>
      </c>
      <c r="G88" s="128">
        <f>SUM(G84:G87)/4</f>
        <v>10.615</v>
      </c>
      <c r="I88" s="53"/>
      <c r="J88" s="53"/>
      <c r="K88" s="53"/>
      <c r="L88" s="53"/>
      <c r="M88" s="53"/>
      <c r="N88" s="53"/>
    </row>
    <row r="89" spans="1:14" x14ac:dyDescent="0.35">
      <c r="A89" s="2"/>
      <c r="B89" s="394" t="s">
        <v>75</v>
      </c>
      <c r="C89" s="3" t="s">
        <v>311</v>
      </c>
      <c r="D89" s="77">
        <v>1.85</v>
      </c>
      <c r="E89" s="66">
        <v>57.29</v>
      </c>
      <c r="F89" s="70">
        <f>I71/F82</f>
        <v>18.877551020408163</v>
      </c>
      <c r="G89" s="120">
        <f>19.6/G82</f>
        <v>15.3125</v>
      </c>
      <c r="H89" s="53"/>
      <c r="I89" s="53"/>
      <c r="J89" s="53"/>
      <c r="K89" s="53"/>
      <c r="L89" s="53"/>
      <c r="M89" s="53"/>
      <c r="N89" s="53"/>
    </row>
    <row r="90" spans="1:14" x14ac:dyDescent="0.4">
      <c r="A90" s="2"/>
      <c r="B90" s="394"/>
      <c r="C90" s="3" t="s">
        <v>73</v>
      </c>
      <c r="D90" s="76" t="s">
        <v>84</v>
      </c>
      <c r="E90" s="66"/>
      <c r="F90" s="66"/>
      <c r="G90" s="21"/>
      <c r="H90" s="53"/>
      <c r="I90" s="53"/>
      <c r="J90" s="53"/>
      <c r="K90" s="53"/>
      <c r="L90" s="53"/>
      <c r="M90" s="53"/>
      <c r="N90" s="53"/>
    </row>
    <row r="91" spans="1:14" x14ac:dyDescent="0.4">
      <c r="A91" s="2"/>
      <c r="B91" s="394"/>
      <c r="C91" s="21" t="s">
        <v>312</v>
      </c>
      <c r="D91" s="76">
        <v>267.10000000000002</v>
      </c>
      <c r="E91" s="66">
        <v>67.17</v>
      </c>
      <c r="F91" s="70">
        <f>725.9/F84</f>
        <v>66.841620626151013</v>
      </c>
      <c r="G91" s="120">
        <f>814.35/G84</f>
        <v>88.324295010845987</v>
      </c>
      <c r="H91" s="53"/>
      <c r="I91" s="53"/>
      <c r="J91" s="53"/>
      <c r="K91" s="53"/>
      <c r="L91" s="53"/>
      <c r="M91" s="53"/>
      <c r="N91" s="53"/>
    </row>
    <row r="92" spans="1:14" x14ac:dyDescent="0.4">
      <c r="A92" s="2"/>
      <c r="B92" s="394"/>
      <c r="C92" s="21" t="s">
        <v>313</v>
      </c>
      <c r="D92" s="76">
        <v>16.2</v>
      </c>
      <c r="E92" s="66">
        <v>11.85</v>
      </c>
      <c r="F92" s="70">
        <f>240.6/F85</f>
        <v>11.222014925373134</v>
      </c>
      <c r="G92" s="120">
        <f>190.45/G85</f>
        <v>10.294594594594594</v>
      </c>
      <c r="H92" s="53"/>
      <c r="I92" s="53"/>
      <c r="J92" s="53"/>
      <c r="K92" s="53"/>
      <c r="L92" s="53"/>
      <c r="M92" s="53"/>
      <c r="N92" s="53"/>
    </row>
    <row r="93" spans="1:14" x14ac:dyDescent="0.4">
      <c r="A93" s="2"/>
      <c r="B93" s="394"/>
      <c r="C93" s="21" t="s">
        <v>273</v>
      </c>
      <c r="D93" s="76">
        <v>10.6</v>
      </c>
      <c r="E93" s="66">
        <v>15.14</v>
      </c>
      <c r="F93" s="70">
        <v>45.882990249187429</v>
      </c>
      <c r="G93" s="120">
        <f>460.65/G86</f>
        <v>36.530531324345759</v>
      </c>
      <c r="H93" s="53"/>
      <c r="I93" s="53"/>
      <c r="J93" s="53"/>
      <c r="K93" s="53"/>
      <c r="L93" s="53"/>
      <c r="M93" s="53"/>
      <c r="N93" s="53"/>
    </row>
    <row r="94" spans="1:14" x14ac:dyDescent="0.4">
      <c r="A94" s="2"/>
      <c r="B94" s="394"/>
      <c r="C94" s="21" t="s">
        <v>303</v>
      </c>
      <c r="D94" s="76">
        <v>13.7</v>
      </c>
      <c r="E94" s="66">
        <v>31.96</v>
      </c>
      <c r="F94" s="70">
        <v>34.124168514412418</v>
      </c>
      <c r="G94" s="120">
        <f>115.1/G87</f>
        <v>54.037558685446008</v>
      </c>
      <c r="H94" s="53"/>
      <c r="I94" s="53"/>
      <c r="J94" s="53"/>
      <c r="K94" s="53"/>
      <c r="L94" s="53"/>
      <c r="M94" s="53"/>
      <c r="N94" s="53"/>
    </row>
    <row r="95" spans="1:14" x14ac:dyDescent="0.4">
      <c r="A95" s="2"/>
      <c r="B95" s="394"/>
      <c r="C95" s="3" t="s">
        <v>74</v>
      </c>
      <c r="D95" s="127">
        <f>SUM(D91:D94)/4</f>
        <v>76.900000000000006</v>
      </c>
      <c r="E95" s="128">
        <f>SUM(E91:E94)/4</f>
        <v>31.53</v>
      </c>
      <c r="F95" s="128">
        <f>SUM(F91:F94)/4</f>
        <v>39.517698578780994</v>
      </c>
      <c r="G95" s="128">
        <f>SUM(G91:G94)/4</f>
        <v>47.29674490380809</v>
      </c>
      <c r="H95" s="53"/>
      <c r="I95" s="53"/>
      <c r="J95" s="53"/>
      <c r="K95" s="53"/>
      <c r="L95" s="53"/>
      <c r="M95" s="53"/>
      <c r="N95" s="53"/>
    </row>
    <row r="96" spans="1:14" x14ac:dyDescent="0.35">
      <c r="A96" s="2"/>
      <c r="B96" s="394" t="s">
        <v>76</v>
      </c>
      <c r="C96" s="3" t="s">
        <v>311</v>
      </c>
      <c r="D96" s="65">
        <v>10.46</v>
      </c>
      <c r="E96" s="66">
        <v>2.63</v>
      </c>
      <c r="F96" s="66"/>
      <c r="G96" s="21"/>
      <c r="H96" s="53"/>
      <c r="I96" s="53"/>
      <c r="J96" s="53"/>
      <c r="K96" s="53"/>
      <c r="L96" s="53"/>
      <c r="M96" s="53"/>
      <c r="N96" s="53"/>
    </row>
    <row r="97" spans="1:14" x14ac:dyDescent="0.4">
      <c r="A97" s="2"/>
      <c r="B97" s="394"/>
      <c r="C97" s="3" t="s">
        <v>73</v>
      </c>
      <c r="D97" s="76" t="s">
        <v>84</v>
      </c>
      <c r="E97" s="66"/>
      <c r="F97" s="66"/>
      <c r="G97" s="21"/>
      <c r="H97" s="53"/>
      <c r="I97" s="53"/>
      <c r="J97" s="53"/>
      <c r="K97" s="53"/>
      <c r="L97" s="53"/>
      <c r="M97" s="53"/>
      <c r="N97" s="53"/>
    </row>
    <row r="98" spans="1:14" x14ac:dyDescent="0.4">
      <c r="A98" s="2"/>
      <c r="B98" s="394"/>
      <c r="C98" s="21" t="s">
        <v>312</v>
      </c>
      <c r="D98" s="76">
        <v>4.5999999999999996</v>
      </c>
      <c r="E98" s="66">
        <v>3.1</v>
      </c>
      <c r="F98" s="71">
        <f>234.96/2231.81</f>
        <v>0.10527777902240783</v>
      </c>
      <c r="G98" s="120">
        <f>209.35/2657.05*100</f>
        <v>7.8790387836134057</v>
      </c>
      <c r="H98" s="53"/>
      <c r="I98" s="53"/>
      <c r="J98" s="53"/>
      <c r="K98" s="53"/>
      <c r="L98" s="53"/>
      <c r="M98" s="53"/>
      <c r="N98" s="53"/>
    </row>
    <row r="99" spans="1:14" x14ac:dyDescent="0.4">
      <c r="A99" s="2"/>
      <c r="B99" s="394"/>
      <c r="C99" s="21" t="s">
        <v>313</v>
      </c>
      <c r="D99" s="76">
        <v>6.2</v>
      </c>
      <c r="E99" s="66">
        <v>13.54</v>
      </c>
      <c r="F99" s="71">
        <f>7558/51652</f>
        <v>0.14632540850305895</v>
      </c>
      <c r="G99" s="120">
        <f>6617/57009*100</f>
        <v>11.606939255205319</v>
      </c>
      <c r="H99" s="53"/>
      <c r="I99" s="53"/>
      <c r="J99" s="53"/>
      <c r="K99" s="53"/>
      <c r="L99" s="53"/>
      <c r="M99" s="53"/>
      <c r="N99" s="53"/>
    </row>
    <row r="100" spans="1:14" x14ac:dyDescent="0.4">
      <c r="A100" s="2"/>
      <c r="B100" s="394"/>
      <c r="C100" s="21" t="s">
        <v>273</v>
      </c>
      <c r="D100" s="76">
        <v>13.7</v>
      </c>
      <c r="E100" s="66">
        <v>8.8699999999999992</v>
      </c>
      <c r="F100" s="71">
        <v>7.7118063350871513E-2</v>
      </c>
      <c r="G100" s="120">
        <f>18454.95/292475.47*100</f>
        <v>6.3099137852483844</v>
      </c>
      <c r="H100" s="53"/>
      <c r="I100" s="53"/>
      <c r="J100" s="53"/>
      <c r="K100" s="53"/>
      <c r="L100" s="53"/>
      <c r="M100" s="53"/>
      <c r="N100" s="53"/>
    </row>
    <row r="101" spans="1:14" x14ac:dyDescent="0.4">
      <c r="A101" s="2"/>
      <c r="B101" s="394"/>
      <c r="C101" s="21" t="s">
        <v>303</v>
      </c>
      <c r="D101" s="76">
        <v>9.6999999999999993</v>
      </c>
      <c r="E101" s="66">
        <v>10.07</v>
      </c>
      <c r="F101" s="71">
        <v>5.0544059703050384E-2</v>
      </c>
      <c r="G101" s="120">
        <f>1767/78516*100</f>
        <v>2.250496714045545</v>
      </c>
      <c r="H101" s="53"/>
      <c r="I101" s="53"/>
      <c r="J101" s="53"/>
      <c r="K101" s="53"/>
      <c r="L101" s="53"/>
      <c r="M101" s="53"/>
      <c r="N101" s="53"/>
    </row>
    <row r="102" spans="1:14" x14ac:dyDescent="0.4">
      <c r="A102" s="2"/>
      <c r="B102" s="394"/>
      <c r="C102" s="3" t="s">
        <v>74</v>
      </c>
      <c r="D102" s="127">
        <f>SUM(D98:D101)/4</f>
        <v>8.5500000000000007</v>
      </c>
      <c r="E102" s="128">
        <f>SUM(E98:E101)/4</f>
        <v>8.8949999999999996</v>
      </c>
      <c r="F102" s="128">
        <f>SUM(F98:F101)/4</f>
        <v>9.4816327644847168E-2</v>
      </c>
      <c r="G102" s="128">
        <f>SUM(G98:G101)/4</f>
        <v>7.0115971345281638</v>
      </c>
      <c r="H102" s="53"/>
      <c r="I102" s="53"/>
      <c r="J102" s="53"/>
      <c r="K102" s="57"/>
      <c r="L102" s="53"/>
      <c r="M102" s="53"/>
      <c r="N102" s="53"/>
    </row>
    <row r="103" spans="1:14" x14ac:dyDescent="0.35">
      <c r="A103" s="2"/>
      <c r="B103" s="394" t="s">
        <v>77</v>
      </c>
      <c r="C103" s="3" t="s">
        <v>311</v>
      </c>
      <c r="D103" s="65">
        <v>11.26</v>
      </c>
      <c r="E103" s="66">
        <v>18.25</v>
      </c>
      <c r="F103" s="66">
        <v>1.97</v>
      </c>
      <c r="G103" s="21">
        <v>1.95</v>
      </c>
      <c r="H103" s="53"/>
      <c r="I103" s="53"/>
      <c r="J103" s="53"/>
      <c r="K103" s="53"/>
      <c r="L103" s="53"/>
      <c r="M103" s="53"/>
      <c r="N103" s="53"/>
    </row>
    <row r="104" spans="1:14" x14ac:dyDescent="0.4">
      <c r="A104" s="2"/>
      <c r="B104" s="394"/>
      <c r="C104" s="3" t="s">
        <v>73</v>
      </c>
      <c r="D104" s="76" t="s">
        <v>84</v>
      </c>
      <c r="E104" s="66"/>
      <c r="F104" s="66"/>
      <c r="G104" s="21"/>
      <c r="H104" s="53"/>
      <c r="I104" s="53"/>
      <c r="J104" s="53"/>
      <c r="K104" s="53"/>
      <c r="L104" s="53"/>
      <c r="M104" s="53"/>
      <c r="N104" s="53"/>
    </row>
    <row r="105" spans="1:14" x14ac:dyDescent="0.4">
      <c r="A105" s="2"/>
      <c r="B105" s="411"/>
      <c r="C105" s="21" t="s">
        <v>312</v>
      </c>
      <c r="D105" s="76">
        <v>97.1</v>
      </c>
      <c r="E105" s="66">
        <v>92.61</v>
      </c>
      <c r="F105" s="70">
        <f>2231.81/10.82</f>
        <v>206.26709796672827</v>
      </c>
      <c r="G105" s="120">
        <f>2657.05*10000000/114660000</f>
        <v>231.73294959009246</v>
      </c>
      <c r="H105" s="53"/>
      <c r="I105" s="53"/>
      <c r="J105" s="53"/>
      <c r="K105" s="53"/>
      <c r="L105" s="53"/>
      <c r="M105" s="53"/>
      <c r="N105" s="53"/>
    </row>
    <row r="106" spans="1:14" x14ac:dyDescent="0.4">
      <c r="A106" s="2"/>
      <c r="B106" s="411"/>
      <c r="C106" s="21" t="s">
        <v>313</v>
      </c>
      <c r="D106" s="76">
        <v>110.5</v>
      </c>
      <c r="E106" s="66">
        <v>126.88</v>
      </c>
      <c r="F106" s="70">
        <f>51652/354.8</f>
        <v>145.58060879368657</v>
      </c>
      <c r="G106" s="120">
        <f>57009*100000/35480000</f>
        <v>160.67925591882752</v>
      </c>
      <c r="H106" s="53"/>
      <c r="I106" s="53"/>
      <c r="J106" s="53"/>
      <c r="K106" s="53"/>
      <c r="L106" s="53"/>
      <c r="M106" s="53"/>
      <c r="N106" s="53"/>
    </row>
    <row r="107" spans="1:14" x14ac:dyDescent="0.4">
      <c r="A107" s="2"/>
      <c r="B107" s="411"/>
      <c r="C107" s="21" t="s">
        <v>273</v>
      </c>
      <c r="D107" s="76">
        <v>112</v>
      </c>
      <c r="E107" s="66">
        <v>149.69</v>
      </c>
      <c r="F107" s="70">
        <v>109.53328093496907</v>
      </c>
      <c r="G107" s="120">
        <f>29247547000/146344861</f>
        <v>199.85359786566062</v>
      </c>
      <c r="H107" s="53"/>
      <c r="I107" s="53"/>
      <c r="J107" s="53"/>
      <c r="K107" s="53"/>
      <c r="L107" s="53"/>
      <c r="M107" s="53"/>
      <c r="N107" s="53"/>
    </row>
    <row r="108" spans="1:14" x14ac:dyDescent="0.4">
      <c r="A108" s="2"/>
      <c r="B108" s="411"/>
      <c r="C108" s="21" t="s">
        <v>303</v>
      </c>
      <c r="D108" s="76">
        <v>50.9</v>
      </c>
      <c r="E108" s="66">
        <v>70.680000000000007</v>
      </c>
      <c r="F108" s="70">
        <v>74.886174890083055</v>
      </c>
      <c r="G108" s="120">
        <f>78516*100000/204704198</f>
        <v>38.355832839344117</v>
      </c>
      <c r="H108" s="53"/>
      <c r="I108" s="53"/>
      <c r="J108" s="53"/>
      <c r="K108" s="53"/>
      <c r="L108" s="53"/>
      <c r="M108" s="53"/>
      <c r="N108" s="53"/>
    </row>
    <row r="109" spans="1:14" x14ac:dyDescent="0.4">
      <c r="A109" s="2"/>
      <c r="B109" s="411"/>
      <c r="C109" s="3" t="s">
        <v>74</v>
      </c>
      <c r="D109" s="127">
        <f>SUM(D105:D108)/4</f>
        <v>92.625</v>
      </c>
      <c r="E109" s="128">
        <f>SUM(E105:E108)/4</f>
        <v>109.965</v>
      </c>
      <c r="F109" s="128">
        <f>SUM(F105:F108)/4</f>
        <v>134.06679064636674</v>
      </c>
      <c r="G109" s="128">
        <f>SUM(G105:G108)/4</f>
        <v>157.65540905348118</v>
      </c>
      <c r="H109" s="53"/>
      <c r="I109" s="53"/>
      <c r="J109" s="53"/>
      <c r="K109" s="53"/>
      <c r="L109" s="53"/>
      <c r="M109" s="53"/>
      <c r="N109" s="53"/>
    </row>
    <row r="110" spans="1:14" s="1" customFormat="1" x14ac:dyDescent="0.4">
      <c r="B110" s="412"/>
      <c r="C110" s="413"/>
      <c r="D110" s="413"/>
      <c r="E110" s="413"/>
      <c r="F110" s="413"/>
      <c r="G110" s="414"/>
    </row>
    <row r="111" spans="1:14" x14ac:dyDescent="0.4">
      <c r="A111" s="2"/>
      <c r="B111" s="415" t="s">
        <v>314</v>
      </c>
      <c r="C111" s="416"/>
      <c r="D111" s="416"/>
      <c r="E111" s="416"/>
      <c r="F111" s="416"/>
      <c r="G111" s="417"/>
      <c r="H111" s="53"/>
      <c r="I111" s="53"/>
      <c r="J111" s="53"/>
      <c r="K111" s="53"/>
      <c r="L111" s="53"/>
      <c r="M111" s="53"/>
      <c r="N111" s="53"/>
    </row>
    <row r="112" spans="1:14" x14ac:dyDescent="0.4">
      <c r="A112" s="2"/>
      <c r="B112" s="418" t="s">
        <v>85</v>
      </c>
      <c r="C112" s="419"/>
      <c r="D112" s="419"/>
      <c r="E112" s="419"/>
      <c r="F112" s="419"/>
      <c r="G112" s="420"/>
      <c r="H112" s="53"/>
      <c r="I112" s="53"/>
      <c r="J112" s="53"/>
      <c r="K112" s="53"/>
      <c r="L112" s="53"/>
      <c r="M112" s="53"/>
      <c r="N112" s="53"/>
    </row>
    <row r="113" spans="1:14" x14ac:dyDescent="0.4">
      <c r="A113" s="2"/>
      <c r="B113" s="363" t="s">
        <v>304</v>
      </c>
      <c r="C113" s="368"/>
      <c r="D113" s="368"/>
      <c r="E113" s="368"/>
      <c r="F113" s="368"/>
      <c r="G113" s="369"/>
      <c r="H113" s="53"/>
      <c r="I113" s="53"/>
      <c r="J113" s="53"/>
      <c r="K113" s="53"/>
      <c r="L113" s="53"/>
      <c r="M113" s="53"/>
      <c r="N113" s="53"/>
    </row>
    <row r="114" spans="1:14" x14ac:dyDescent="0.4">
      <c r="C114" s="407"/>
      <c r="D114" s="407"/>
      <c r="E114" s="407"/>
      <c r="F114" s="407"/>
      <c r="G114" s="407"/>
      <c r="H114" s="53"/>
      <c r="I114" s="53"/>
    </row>
    <row r="115" spans="1:14" x14ac:dyDescent="0.4">
      <c r="A115" s="9">
        <v>14</v>
      </c>
      <c r="B115" s="61" t="s">
        <v>78</v>
      </c>
      <c r="C115" s="356" t="s">
        <v>41</v>
      </c>
      <c r="D115" s="357"/>
      <c r="E115" s="357"/>
      <c r="F115" s="357"/>
      <c r="G115" s="408"/>
    </row>
    <row r="116" spans="1:14" x14ac:dyDescent="0.4">
      <c r="A116" s="23"/>
      <c r="C116" s="69"/>
      <c r="D116" s="69"/>
      <c r="E116" s="69"/>
      <c r="F116" s="69"/>
      <c r="G116" s="69"/>
    </row>
    <row r="117" spans="1:14" x14ac:dyDescent="0.4">
      <c r="B117" s="409" t="s">
        <v>289</v>
      </c>
      <c r="C117" s="410"/>
      <c r="D117" s="410"/>
      <c r="E117" s="410"/>
      <c r="F117" s="410"/>
      <c r="G117" s="410"/>
      <c r="H117" s="410"/>
    </row>
  </sheetData>
  <sheetProtection password="E9DF" sheet="1" objects="1" scenarios="1"/>
  <mergeCells count="59">
    <mergeCell ref="B96:B102"/>
    <mergeCell ref="B103:B109"/>
    <mergeCell ref="B117:H117"/>
    <mergeCell ref="B110:G110"/>
    <mergeCell ref="B111:G111"/>
    <mergeCell ref="B112:G112"/>
    <mergeCell ref="B113:G113"/>
    <mergeCell ref="C114:G114"/>
    <mergeCell ref="C115:G115"/>
    <mergeCell ref="B76:N76"/>
    <mergeCell ref="B77:N77"/>
    <mergeCell ref="B79:G79"/>
    <mergeCell ref="B82:B88"/>
    <mergeCell ref="B89:B95"/>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55:B56"/>
    <mergeCell ref="C55:E56"/>
    <mergeCell ref="B35:E35"/>
    <mergeCell ref="B39:C39"/>
    <mergeCell ref="B42:E42"/>
    <mergeCell ref="C43:E43"/>
    <mergeCell ref="C44:E44"/>
    <mergeCell ref="C45:E45"/>
    <mergeCell ref="B46:E46"/>
    <mergeCell ref="B48:E48"/>
    <mergeCell ref="B51:E51"/>
    <mergeCell ref="B52:E52"/>
    <mergeCell ref="B54:E54"/>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pageSetup paperSize="9" orientation="portrait"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12"/>
  <sheetViews>
    <sheetView topLeftCell="A91" workbookViewId="0">
      <selection activeCell="A64" sqref="A64:N86"/>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x14ac:dyDescent="0.4">
      <c r="A3" s="2" t="s">
        <v>1</v>
      </c>
      <c r="B3" s="3" t="s">
        <v>2</v>
      </c>
      <c r="C3" s="4" t="s">
        <v>315</v>
      </c>
    </row>
    <row r="4" spans="1:5" x14ac:dyDescent="0.4">
      <c r="D4" s="5"/>
    </row>
    <row r="5" spans="1:5"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x14ac:dyDescent="0.4">
      <c r="A8" s="9">
        <v>2</v>
      </c>
      <c r="B8" s="7" t="s">
        <v>6</v>
      </c>
      <c r="C8" s="12" t="s">
        <v>316</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317</v>
      </c>
      <c r="D14" s="5"/>
    </row>
    <row r="15" spans="1:5" ht="14.35" customHeight="1" x14ac:dyDescent="0.4">
      <c r="A15" s="9"/>
      <c r="B15" s="363" t="s">
        <v>10</v>
      </c>
      <c r="C15" s="364"/>
      <c r="D15" s="5"/>
    </row>
    <row r="16" spans="1:5" x14ac:dyDescent="0.4">
      <c r="A16" s="9"/>
      <c r="D16" s="5"/>
    </row>
    <row r="17" spans="1:14" ht="32.25"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318</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263</v>
      </c>
      <c r="E28" s="18" t="s">
        <v>23</v>
      </c>
      <c r="F28" s="15"/>
    </row>
    <row r="29" spans="1:14" ht="12.7" customHeight="1" x14ac:dyDescent="0.4">
      <c r="A29" s="9"/>
      <c r="B29" s="19" t="s">
        <v>24</v>
      </c>
      <c r="C29" s="116">
        <v>9575.8700000000008</v>
      </c>
      <c r="D29" s="116">
        <v>15271.02</v>
      </c>
      <c r="E29" s="21">
        <v>16294.73</v>
      </c>
      <c r="F29" s="15"/>
    </row>
    <row r="30" spans="1:14" x14ac:dyDescent="0.4">
      <c r="A30" s="9"/>
      <c r="B30" s="19" t="s">
        <v>25</v>
      </c>
      <c r="C30" s="116">
        <v>354.15</v>
      </c>
      <c r="D30" s="116">
        <v>1441.38</v>
      </c>
      <c r="E30" s="21">
        <v>1377.42</v>
      </c>
      <c r="F30" s="15"/>
    </row>
    <row r="31" spans="1:14" x14ac:dyDescent="0.4">
      <c r="A31" s="9"/>
      <c r="B31" s="19" t="s">
        <v>26</v>
      </c>
      <c r="C31" s="116">
        <v>2490</v>
      </c>
      <c r="D31" s="116">
        <v>2490</v>
      </c>
      <c r="E31" s="21">
        <v>2490</v>
      </c>
      <c r="F31" s="15"/>
    </row>
    <row r="32" spans="1:14" x14ac:dyDescent="0.4">
      <c r="A32" s="9"/>
      <c r="B32" s="19" t="s">
        <v>27</v>
      </c>
      <c r="C32" s="116">
        <v>7123.91</v>
      </c>
      <c r="D32" s="116">
        <v>8440.7900000000009</v>
      </c>
      <c r="E32" s="21">
        <v>9986.59</v>
      </c>
      <c r="F32" s="15"/>
    </row>
    <row r="33" spans="1:10" x14ac:dyDescent="0.4">
      <c r="A33" s="9"/>
      <c r="B33" s="363" t="s">
        <v>244</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881</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ht="27.05" customHeight="1" x14ac:dyDescent="0.4">
      <c r="A42" s="9">
        <v>8</v>
      </c>
      <c r="B42" s="365" t="s">
        <v>690</v>
      </c>
      <c r="C42" s="365"/>
      <c r="D42" s="365"/>
      <c r="E42" s="365"/>
      <c r="F42" s="11"/>
      <c r="G42" s="11"/>
      <c r="H42" s="11"/>
      <c r="I42" s="11"/>
      <c r="J42" s="11"/>
    </row>
    <row r="43" spans="1:10" x14ac:dyDescent="0.4">
      <c r="A43" s="9"/>
      <c r="B43" s="17" t="s">
        <v>34</v>
      </c>
      <c r="C43" s="373" t="s">
        <v>79</v>
      </c>
      <c r="D43" s="374"/>
      <c r="E43" s="375"/>
      <c r="F43" s="13"/>
    </row>
    <row r="44" spans="1:10" ht="35.25" customHeight="1" x14ac:dyDescent="0.4">
      <c r="A44" s="9"/>
      <c r="B44" s="17" t="s">
        <v>31</v>
      </c>
      <c r="C44" s="373" t="s">
        <v>740</v>
      </c>
      <c r="D44" s="374"/>
      <c r="E44" s="375"/>
      <c r="F44" s="13"/>
    </row>
    <row r="45" spans="1:10" x14ac:dyDescent="0.4">
      <c r="A45" s="9"/>
      <c r="B45" s="17" t="s">
        <v>32</v>
      </c>
      <c r="C45" s="446" t="s">
        <v>730</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x14ac:dyDescent="0.4">
      <c r="A50" s="29"/>
      <c r="B50" s="377" t="s">
        <v>97</v>
      </c>
      <c r="C50" s="378"/>
      <c r="D50" s="378"/>
      <c r="E50" s="379"/>
    </row>
    <row r="51" spans="1:14" x14ac:dyDescent="0.4">
      <c r="A51" s="29"/>
      <c r="B51" s="377"/>
      <c r="C51" s="378"/>
      <c r="D51" s="378"/>
      <c r="E51" s="379"/>
    </row>
    <row r="52" spans="1:14" x14ac:dyDescent="0.4">
      <c r="A52" s="31"/>
      <c r="B52" s="380"/>
      <c r="C52" s="381"/>
      <c r="D52" s="381"/>
      <c r="E52" s="382"/>
      <c r="F52" s="15"/>
      <c r="G52" s="15"/>
      <c r="H52" s="15"/>
    </row>
    <row r="53" spans="1:14" x14ac:dyDescent="0.4">
      <c r="A53" s="32"/>
      <c r="B53" s="62"/>
      <c r="C53" s="23"/>
      <c r="D53" s="23"/>
      <c r="E53" s="23"/>
      <c r="F53" s="15"/>
      <c r="G53" s="15"/>
      <c r="H53" s="15"/>
      <c r="I53" s="15"/>
    </row>
    <row r="54" spans="1:14" x14ac:dyDescent="0.4">
      <c r="A54" s="24">
        <v>10</v>
      </c>
      <c r="B54" s="376" t="s">
        <v>36</v>
      </c>
      <c r="C54" s="365"/>
      <c r="D54" s="365"/>
      <c r="E54" s="365"/>
      <c r="F54" s="15"/>
      <c r="G54" s="15"/>
      <c r="H54" s="15"/>
    </row>
    <row r="55" spans="1:14" x14ac:dyDescent="0.4">
      <c r="A55" s="29"/>
      <c r="B55" s="383" t="s">
        <v>43</v>
      </c>
      <c r="C55" s="385" t="s">
        <v>97</v>
      </c>
      <c r="D55" s="386"/>
      <c r="E55" s="387"/>
      <c r="K55" s="1"/>
    </row>
    <row r="56" spans="1:14" x14ac:dyDescent="0.4">
      <c r="A56" s="29"/>
      <c r="B56" s="384"/>
      <c r="C56" s="388"/>
      <c r="D56" s="389"/>
      <c r="E56" s="390"/>
      <c r="K56" s="1"/>
    </row>
    <row r="57" spans="1:14" x14ac:dyDescent="0.4">
      <c r="A57" s="24"/>
      <c r="B57" s="33" t="s">
        <v>44</v>
      </c>
      <c r="C57" s="391" t="s">
        <v>13</v>
      </c>
      <c r="D57" s="391"/>
      <c r="E57" s="391"/>
    </row>
    <row r="58" spans="1:14" x14ac:dyDescent="0.4">
      <c r="A58" s="29"/>
      <c r="B58" s="33" t="s">
        <v>45</v>
      </c>
      <c r="C58" s="391" t="s">
        <v>46</v>
      </c>
      <c r="D58" s="391"/>
      <c r="E58" s="391"/>
      <c r="K58" s="34"/>
    </row>
    <row r="59" spans="1:14" s="63" customFormat="1" x14ac:dyDescent="0.35">
      <c r="A59" s="35" t="s">
        <v>47</v>
      </c>
      <c r="B59" s="392" t="s">
        <v>48</v>
      </c>
      <c r="C59" s="392"/>
      <c r="D59" s="392"/>
      <c r="E59" s="392"/>
    </row>
    <row r="60" spans="1:14" x14ac:dyDescent="0.4">
      <c r="A60" s="36"/>
      <c r="B60" s="2"/>
      <c r="C60" s="37"/>
      <c r="D60" s="38"/>
      <c r="E60" s="39"/>
      <c r="F60" s="34"/>
      <c r="G60" s="34"/>
      <c r="H60" s="34"/>
      <c r="I60" s="34"/>
      <c r="J60" s="34"/>
      <c r="K60" s="34"/>
      <c r="L60" s="34"/>
    </row>
    <row r="61" spans="1:14" x14ac:dyDescent="0.4">
      <c r="A61" s="40"/>
      <c r="B61" s="41"/>
      <c r="C61" s="42"/>
      <c r="D61" s="42"/>
      <c r="E61" s="42"/>
      <c r="F61" s="42"/>
    </row>
    <row r="62" spans="1:14" x14ac:dyDescent="0.4">
      <c r="A62" s="9">
        <v>11</v>
      </c>
      <c r="B62" s="3" t="s">
        <v>49</v>
      </c>
      <c r="C62" s="393" t="s">
        <v>50</v>
      </c>
      <c r="D62" s="393"/>
      <c r="E62" s="393"/>
      <c r="F62" s="11"/>
      <c r="G62" s="11"/>
      <c r="H62" s="43"/>
      <c r="I62" s="11"/>
      <c r="J62" s="11"/>
    </row>
    <row r="63" spans="1:14" x14ac:dyDescent="0.4">
      <c r="A63" s="9"/>
      <c r="B63" s="15"/>
      <c r="C63" s="15"/>
      <c r="D63" s="15"/>
      <c r="E63" s="15"/>
      <c r="F63" s="15"/>
      <c r="G63" s="15"/>
      <c r="H63" s="44"/>
      <c r="I63" s="44"/>
      <c r="J63" s="15"/>
    </row>
    <row r="64" spans="1:14" x14ac:dyDescent="0.4">
      <c r="A64" s="9">
        <v>12</v>
      </c>
      <c r="B64" s="11" t="s">
        <v>51</v>
      </c>
      <c r="C64" s="11"/>
      <c r="D64" s="11"/>
      <c r="E64" s="11"/>
      <c r="F64" s="11"/>
      <c r="G64" s="11"/>
      <c r="H64" s="11"/>
      <c r="I64" s="11"/>
      <c r="J64" s="11"/>
      <c r="K64" s="11"/>
      <c r="L64" s="11"/>
      <c r="M64" s="11"/>
      <c r="N64" s="11"/>
    </row>
    <row r="65" spans="1:14" x14ac:dyDescent="0.4">
      <c r="A65" s="9"/>
      <c r="B65" s="11"/>
      <c r="C65" s="11"/>
      <c r="D65" s="11"/>
      <c r="E65" s="11"/>
      <c r="F65" s="11"/>
      <c r="G65" s="11"/>
      <c r="H65" s="11"/>
      <c r="I65" s="11"/>
      <c r="J65" s="11"/>
      <c r="K65" s="11"/>
      <c r="L65" s="11"/>
      <c r="M65" s="11"/>
      <c r="N65" s="11"/>
    </row>
    <row r="66" spans="1:14" x14ac:dyDescent="0.4">
      <c r="A66" s="9"/>
      <c r="B66" s="17" t="s">
        <v>52</v>
      </c>
      <c r="C66" s="19" t="s">
        <v>321</v>
      </c>
      <c r="D66" s="15"/>
      <c r="E66" s="15"/>
      <c r="F66" s="44"/>
      <c r="G66" s="44"/>
      <c r="H66" s="15"/>
      <c r="I66" s="15"/>
      <c r="J66" s="15"/>
      <c r="K66" s="15"/>
      <c r="L66" s="15"/>
      <c r="M66" s="15"/>
      <c r="N66" s="15"/>
    </row>
    <row r="67" spans="1:14" x14ac:dyDescent="0.4">
      <c r="A67" s="9"/>
      <c r="B67" s="15"/>
      <c r="C67" s="15"/>
      <c r="D67" s="15"/>
      <c r="E67" s="15"/>
      <c r="F67" s="15"/>
      <c r="G67" s="15"/>
      <c r="H67" s="15"/>
      <c r="I67" s="15"/>
      <c r="J67" s="15"/>
      <c r="K67" s="15"/>
      <c r="L67" s="15"/>
      <c r="M67" s="15"/>
      <c r="N67" s="15"/>
    </row>
    <row r="68" spans="1:14" x14ac:dyDescent="0.4">
      <c r="A68" s="9"/>
      <c r="B68" s="365" t="s">
        <v>53</v>
      </c>
      <c r="C68" s="366" t="s">
        <v>322</v>
      </c>
      <c r="D68" s="366" t="s">
        <v>271</v>
      </c>
      <c r="E68" s="403" t="s">
        <v>323</v>
      </c>
      <c r="F68" s="395" t="s">
        <v>54</v>
      </c>
      <c r="G68" s="396"/>
      <c r="H68" s="397"/>
      <c r="I68" s="398" t="s">
        <v>55</v>
      </c>
      <c r="J68" s="398"/>
      <c r="K68" s="398"/>
      <c r="L68" s="398" t="s">
        <v>56</v>
      </c>
      <c r="M68" s="398"/>
      <c r="N68" s="398"/>
    </row>
    <row r="69" spans="1:14" ht="38.450000000000003" x14ac:dyDescent="0.4">
      <c r="A69" s="2"/>
      <c r="B69" s="365"/>
      <c r="C69" s="402"/>
      <c r="D69" s="402"/>
      <c r="E69" s="404"/>
      <c r="F69" s="17" t="s">
        <v>57</v>
      </c>
      <c r="G69" s="17" t="s">
        <v>58</v>
      </c>
      <c r="H69" s="17" t="s">
        <v>59</v>
      </c>
      <c r="I69" s="17" t="s">
        <v>60</v>
      </c>
      <c r="J69" s="17" t="s">
        <v>58</v>
      </c>
      <c r="K69" s="17" t="s">
        <v>59</v>
      </c>
      <c r="L69" s="17" t="s">
        <v>60</v>
      </c>
      <c r="M69" s="17" t="s">
        <v>58</v>
      </c>
      <c r="N69" s="17" t="s">
        <v>59</v>
      </c>
    </row>
    <row r="70" spans="1:14" x14ac:dyDescent="0.4">
      <c r="A70" s="2"/>
      <c r="B70" s="17" t="s">
        <v>103</v>
      </c>
      <c r="C70" s="45">
        <v>36</v>
      </c>
      <c r="D70" s="46">
        <v>35.25</v>
      </c>
      <c r="E70" s="46">
        <v>35</v>
      </c>
      <c r="F70" s="8">
        <v>32.5</v>
      </c>
      <c r="G70" s="45">
        <v>38.700000000000003</v>
      </c>
      <c r="H70" s="45">
        <v>31</v>
      </c>
      <c r="I70" s="45">
        <v>51.65</v>
      </c>
      <c r="J70" s="45">
        <v>64.099999999999994</v>
      </c>
      <c r="K70" s="45">
        <v>28</v>
      </c>
      <c r="L70" s="45">
        <v>54.7</v>
      </c>
      <c r="M70" s="45">
        <v>68.900000000000006</v>
      </c>
      <c r="N70" s="45">
        <v>47.65</v>
      </c>
    </row>
    <row r="71" spans="1:14" ht="25.65" x14ac:dyDescent="0.4">
      <c r="A71" s="2"/>
      <c r="B71" s="17" t="s">
        <v>104</v>
      </c>
      <c r="C71" s="45">
        <v>8896.7000000000007</v>
      </c>
      <c r="D71" s="45">
        <v>9143.7999999999993</v>
      </c>
      <c r="E71" s="45">
        <v>9595.1</v>
      </c>
      <c r="F71" s="46">
        <v>10113.700000000001</v>
      </c>
      <c r="G71" s="46">
        <v>11171.55</v>
      </c>
      <c r="H71" s="45">
        <v>9075.15</v>
      </c>
      <c r="I71" s="45">
        <v>11623.9</v>
      </c>
      <c r="J71" s="45">
        <v>11760.2</v>
      </c>
      <c r="K71" s="45">
        <v>10004.549999999999</v>
      </c>
      <c r="L71">
        <v>8597.75</v>
      </c>
      <c r="M71">
        <v>12430.5</v>
      </c>
      <c r="N71" s="45">
        <v>7511.1</v>
      </c>
    </row>
    <row r="72" spans="1:14" x14ac:dyDescent="0.4">
      <c r="A72" s="2"/>
      <c r="B72" s="401" t="s">
        <v>94</v>
      </c>
      <c r="C72" s="401"/>
      <c r="D72" s="401"/>
      <c r="E72" s="401"/>
      <c r="F72" s="401"/>
      <c r="G72" s="401"/>
      <c r="H72" s="401"/>
      <c r="I72" s="401"/>
      <c r="J72" s="401"/>
      <c r="K72" s="401"/>
      <c r="L72" s="401"/>
      <c r="M72" s="401"/>
      <c r="N72" s="401"/>
    </row>
    <row r="73" spans="1:14" x14ac:dyDescent="0.4">
      <c r="A73" s="2"/>
      <c r="B73" s="359" t="s">
        <v>63</v>
      </c>
      <c r="C73" s="359"/>
      <c r="D73" s="359"/>
      <c r="E73" s="359"/>
      <c r="F73" s="359"/>
      <c r="G73" s="359"/>
      <c r="H73" s="359"/>
      <c r="I73" s="359"/>
      <c r="J73" s="359"/>
      <c r="K73" s="359"/>
      <c r="L73" s="359"/>
      <c r="M73" s="359"/>
      <c r="N73" s="359"/>
    </row>
    <row r="74" spans="1:14" s="1" customFormat="1" x14ac:dyDescent="0.4">
      <c r="B74" s="359" t="s">
        <v>64</v>
      </c>
      <c r="C74" s="359"/>
      <c r="D74" s="359"/>
      <c r="E74" s="359"/>
      <c r="F74" s="359"/>
      <c r="G74" s="359"/>
      <c r="H74" s="359"/>
      <c r="I74" s="359"/>
      <c r="J74" s="359"/>
      <c r="K74" s="359"/>
      <c r="L74" s="359"/>
      <c r="M74" s="359"/>
      <c r="N74" s="359"/>
    </row>
    <row r="75" spans="1:14" x14ac:dyDescent="0.4">
      <c r="A75" s="2"/>
      <c r="B75" s="359" t="s">
        <v>80</v>
      </c>
      <c r="C75" s="359"/>
      <c r="D75" s="359"/>
      <c r="E75" s="359"/>
      <c r="F75" s="359"/>
      <c r="G75" s="359"/>
      <c r="H75" s="359"/>
      <c r="I75" s="359"/>
      <c r="J75" s="359"/>
      <c r="K75" s="359"/>
      <c r="L75" s="359"/>
      <c r="M75" s="359"/>
      <c r="N75" s="359"/>
    </row>
    <row r="76" spans="1:14" x14ac:dyDescent="0.4">
      <c r="A76" s="2"/>
      <c r="B76" s="359" t="s">
        <v>65</v>
      </c>
      <c r="C76" s="359"/>
      <c r="D76" s="359"/>
      <c r="E76" s="359"/>
      <c r="F76" s="359"/>
      <c r="G76" s="359"/>
      <c r="H76" s="359"/>
      <c r="I76" s="359"/>
      <c r="J76" s="359"/>
      <c r="K76" s="359"/>
      <c r="L76" s="359"/>
      <c r="M76" s="359"/>
      <c r="N76" s="359"/>
    </row>
    <row r="77" spans="1:14" x14ac:dyDescent="0.4">
      <c r="A77" s="2"/>
      <c r="B77" s="49"/>
      <c r="C77" s="49"/>
      <c r="D77" s="49"/>
      <c r="E77" s="49"/>
      <c r="F77" s="49"/>
      <c r="G77" s="13"/>
      <c r="H77" s="13"/>
      <c r="I77" s="13"/>
      <c r="J77" s="13"/>
      <c r="K77" s="13"/>
      <c r="L77" s="13"/>
      <c r="M77" s="13"/>
      <c r="N77" s="13"/>
    </row>
    <row r="78" spans="1:14" x14ac:dyDescent="0.4">
      <c r="A78" s="9">
        <v>13</v>
      </c>
      <c r="B78" s="405" t="s">
        <v>66</v>
      </c>
      <c r="C78" s="406"/>
      <c r="D78" s="406"/>
      <c r="E78" s="406"/>
      <c r="F78" s="406"/>
      <c r="G78" s="376"/>
      <c r="H78" s="11"/>
      <c r="I78" s="11"/>
      <c r="J78" s="11"/>
      <c r="K78" s="11"/>
      <c r="L78" s="11"/>
      <c r="M78" s="11"/>
      <c r="N78" s="11"/>
    </row>
    <row r="79" spans="1:14" x14ac:dyDescent="0.4">
      <c r="A79" s="9"/>
      <c r="C79" s="15"/>
      <c r="D79" s="15"/>
      <c r="E79" s="15"/>
      <c r="F79" s="15"/>
      <c r="G79" s="15"/>
      <c r="H79" s="15"/>
      <c r="I79" s="15"/>
      <c r="J79" s="15"/>
      <c r="K79" s="15"/>
      <c r="L79" s="15"/>
      <c r="M79" s="15"/>
      <c r="N79" s="15"/>
    </row>
    <row r="80" spans="1:14" ht="102.5" x14ac:dyDescent="0.4">
      <c r="A80" s="2"/>
      <c r="B80" s="50" t="s">
        <v>67</v>
      </c>
      <c r="C80" s="18" t="s">
        <v>68</v>
      </c>
      <c r="D80" s="18" t="s">
        <v>69</v>
      </c>
      <c r="E80" s="18" t="s">
        <v>324</v>
      </c>
      <c r="F80" s="18" t="s">
        <v>741</v>
      </c>
      <c r="G80" s="18" t="s">
        <v>107</v>
      </c>
      <c r="H80" s="13"/>
      <c r="I80" s="13"/>
      <c r="J80" s="13"/>
      <c r="K80" s="13"/>
      <c r="L80" s="13"/>
      <c r="M80" s="13"/>
      <c r="N80" s="13"/>
    </row>
    <row r="81" spans="1:14" ht="12.7" customHeight="1" x14ac:dyDescent="0.35">
      <c r="A81" s="2"/>
      <c r="B81" s="394" t="s">
        <v>72</v>
      </c>
      <c r="C81" s="3" t="s">
        <v>325</v>
      </c>
      <c r="D81" s="65">
        <v>1.5</v>
      </c>
      <c r="E81" s="65">
        <v>1.42</v>
      </c>
      <c r="F81" s="20">
        <v>5.79</v>
      </c>
      <c r="G81" s="70">
        <v>5.53</v>
      </c>
      <c r="H81" s="53"/>
      <c r="I81" s="53"/>
      <c r="J81" s="53"/>
      <c r="K81" s="53"/>
      <c r="L81" s="53"/>
      <c r="M81" s="53"/>
      <c r="N81" s="53"/>
    </row>
    <row r="82" spans="1:14" x14ac:dyDescent="0.4">
      <c r="A82" s="2"/>
      <c r="B82" s="394"/>
      <c r="C82" s="3" t="s">
        <v>109</v>
      </c>
      <c r="D82" s="76" t="s">
        <v>84</v>
      </c>
      <c r="E82" s="76"/>
      <c r="F82" s="20"/>
      <c r="G82" s="70"/>
      <c r="H82" s="53"/>
      <c r="I82" s="53"/>
      <c r="J82" s="53"/>
      <c r="K82" s="53"/>
      <c r="L82" s="53"/>
      <c r="M82" s="53"/>
      <c r="N82" s="53"/>
    </row>
    <row r="83" spans="1:14" x14ac:dyDescent="0.4">
      <c r="A83" s="2"/>
      <c r="B83" s="394"/>
      <c r="C83" s="21" t="s">
        <v>235</v>
      </c>
      <c r="D83" s="54">
        <v>3.6</v>
      </c>
      <c r="E83" s="54">
        <v>3.06</v>
      </c>
      <c r="F83" s="20">
        <v>10.91</v>
      </c>
      <c r="G83" s="70">
        <v>10</v>
      </c>
      <c r="H83" s="53"/>
      <c r="I83" s="53"/>
      <c r="J83" s="53"/>
      <c r="K83" s="53"/>
      <c r="L83" s="53"/>
      <c r="M83" s="53"/>
      <c r="N83" s="53"/>
    </row>
    <row r="84" spans="1:14" x14ac:dyDescent="0.4">
      <c r="A84" s="2"/>
      <c r="B84" s="394"/>
      <c r="C84" s="21" t="s">
        <v>327</v>
      </c>
      <c r="D84" s="76">
        <v>6.92</v>
      </c>
      <c r="E84" s="76">
        <v>-1.96</v>
      </c>
      <c r="F84" s="20">
        <v>11.46</v>
      </c>
      <c r="G84" s="70">
        <v>12</v>
      </c>
      <c r="H84" s="53"/>
      <c r="I84" s="53"/>
      <c r="J84" s="53"/>
      <c r="K84" s="53"/>
      <c r="L84" s="53"/>
      <c r="M84" s="53"/>
      <c r="N84" s="53"/>
    </row>
    <row r="85" spans="1:14" x14ac:dyDescent="0.4">
      <c r="A85" s="2"/>
      <c r="B85" s="394"/>
      <c r="C85" s="21" t="s">
        <v>328</v>
      </c>
      <c r="D85" s="76">
        <v>14.59</v>
      </c>
      <c r="E85" s="76">
        <v>22.57</v>
      </c>
      <c r="F85" s="20">
        <v>24.41</v>
      </c>
      <c r="G85" s="70">
        <v>36.200000000000003</v>
      </c>
      <c r="H85" s="53"/>
      <c r="I85" s="53"/>
      <c r="J85" s="53"/>
      <c r="K85" s="53"/>
      <c r="L85" s="53"/>
      <c r="M85" s="53"/>
      <c r="N85" s="53"/>
    </row>
    <row r="86" spans="1:14" x14ac:dyDescent="0.4">
      <c r="A86" s="2"/>
      <c r="B86" s="394"/>
      <c r="C86" s="3" t="s">
        <v>74</v>
      </c>
      <c r="D86" s="127">
        <f>SUM(D83:D85)/3</f>
        <v>8.3699999999999992</v>
      </c>
      <c r="E86" s="127">
        <f>SUM(E83:E85)/3</f>
        <v>7.8900000000000006</v>
      </c>
      <c r="F86" s="127">
        <f>SUM(F83:F85)/3</f>
        <v>15.593333333333334</v>
      </c>
      <c r="G86" s="70"/>
      <c r="H86" s="53"/>
      <c r="I86" s="53"/>
      <c r="J86" s="53"/>
      <c r="K86" s="53"/>
      <c r="L86" s="53"/>
      <c r="M86" s="53"/>
      <c r="N86" s="53"/>
    </row>
    <row r="87" spans="1:14" x14ac:dyDescent="0.35">
      <c r="A87" s="2"/>
      <c r="B87" s="394" t="s">
        <v>75</v>
      </c>
      <c r="C87" s="3" t="s">
        <v>329</v>
      </c>
      <c r="D87" s="77">
        <v>19.98</v>
      </c>
      <c r="E87" s="77">
        <f>F70/E81</f>
        <v>22.887323943661972</v>
      </c>
      <c r="F87" s="101">
        <f>I70/F81</f>
        <v>8.9205526770293613</v>
      </c>
      <c r="G87" s="70">
        <f>54.7/5.53</f>
        <v>9.8915009041591322</v>
      </c>
      <c r="H87" s="53"/>
      <c r="I87" s="53"/>
      <c r="J87" s="53"/>
      <c r="K87" s="53"/>
      <c r="L87" s="53"/>
      <c r="M87" s="53"/>
      <c r="N87" s="53"/>
    </row>
    <row r="88" spans="1:14" x14ac:dyDescent="0.35">
      <c r="A88" s="2"/>
      <c r="B88" s="394"/>
      <c r="C88" s="3" t="s">
        <v>109</v>
      </c>
      <c r="D88" s="90" t="s">
        <v>84</v>
      </c>
      <c r="E88" s="90"/>
      <c r="F88" s="20"/>
      <c r="G88" s="70"/>
      <c r="H88" s="53"/>
      <c r="I88" s="53"/>
      <c r="J88" s="53"/>
      <c r="K88" s="53"/>
      <c r="L88" s="53"/>
      <c r="M88" s="53"/>
      <c r="N88" s="53"/>
    </row>
    <row r="89" spans="1:14" x14ac:dyDescent="0.35">
      <c r="A89" s="2"/>
      <c r="B89" s="394"/>
      <c r="C89" s="21" t="s">
        <v>235</v>
      </c>
      <c r="D89" s="90">
        <v>23.99</v>
      </c>
      <c r="E89" s="90">
        <f>78.4/E83</f>
        <v>25.62091503267974</v>
      </c>
      <c r="F89" s="101">
        <f>85/F83</f>
        <v>7.791017415215399</v>
      </c>
      <c r="G89" s="70">
        <f>21.55/10</f>
        <v>2.1550000000000002</v>
      </c>
      <c r="H89" s="53"/>
      <c r="I89" s="53"/>
      <c r="J89" s="53"/>
      <c r="K89" s="53"/>
      <c r="L89" s="53"/>
      <c r="M89" s="53"/>
      <c r="N89" s="53"/>
    </row>
    <row r="90" spans="1:14" x14ac:dyDescent="0.35">
      <c r="A90" s="2"/>
      <c r="B90" s="394"/>
      <c r="C90" s="21" t="s">
        <v>327</v>
      </c>
      <c r="D90" s="77">
        <v>24.36</v>
      </c>
      <c r="E90" s="77">
        <f>176.25/E84</f>
        <v>-89.923469387755105</v>
      </c>
      <c r="F90" s="101">
        <f>86.75/F84</f>
        <v>7.5698080279232105</v>
      </c>
      <c r="G90" s="70">
        <f>40/12</f>
        <v>3.3333333333333335</v>
      </c>
      <c r="H90" s="53"/>
      <c r="I90" s="53"/>
      <c r="J90" s="53"/>
      <c r="K90" s="53"/>
      <c r="L90" s="53"/>
      <c r="M90" s="53"/>
      <c r="N90" s="53"/>
    </row>
    <row r="91" spans="1:14" x14ac:dyDescent="0.35">
      <c r="A91" s="2"/>
      <c r="B91" s="394"/>
      <c r="C91" s="21" t="s">
        <v>328</v>
      </c>
      <c r="D91" s="90">
        <v>22.68</v>
      </c>
      <c r="E91" s="90">
        <f>523.8/E85</f>
        <v>23.207797961896322</v>
      </c>
      <c r="F91" s="101">
        <f>499.3/F85</f>
        <v>20.454731667349446</v>
      </c>
      <c r="G91" s="70">
        <f>546.2/36.2</f>
        <v>15.088397790055248</v>
      </c>
      <c r="H91" s="53"/>
      <c r="I91" s="53"/>
      <c r="J91" s="53"/>
      <c r="K91" s="53"/>
      <c r="L91" s="53"/>
      <c r="M91" s="53"/>
      <c r="N91" s="53"/>
    </row>
    <row r="92" spans="1:14" x14ac:dyDescent="0.4">
      <c r="A92" s="2"/>
      <c r="B92" s="394"/>
      <c r="C92" s="3" t="s">
        <v>74</v>
      </c>
      <c r="D92" s="127">
        <f>SUM(D89:D91)/3</f>
        <v>23.676666666666666</v>
      </c>
      <c r="E92" s="127">
        <f>SUM(E89:E91)/3</f>
        <v>-13.698252131059681</v>
      </c>
      <c r="F92" s="127">
        <f>SUM(F89:F91)/3</f>
        <v>11.938519036829353</v>
      </c>
      <c r="G92" s="70"/>
      <c r="H92" s="53"/>
      <c r="I92" s="53"/>
      <c r="J92" s="53"/>
      <c r="K92" s="53"/>
      <c r="L92" s="53"/>
      <c r="M92" s="53"/>
      <c r="N92" s="53"/>
    </row>
    <row r="93" spans="1:14" x14ac:dyDescent="0.35">
      <c r="A93" s="2"/>
      <c r="B93" s="394" t="s">
        <v>76</v>
      </c>
      <c r="C93" s="3" t="s">
        <v>329</v>
      </c>
      <c r="D93" s="65">
        <v>7.06</v>
      </c>
      <c r="E93" s="77">
        <f>354.15/9613.91*100</f>
        <v>3.6837249360561937</v>
      </c>
      <c r="F93" s="101">
        <f>1441.38/10930.79*100</f>
        <v>13.186421109544691</v>
      </c>
      <c r="G93" s="70">
        <f>1377.42/2490</f>
        <v>0.55318072289156628</v>
      </c>
      <c r="H93" s="53"/>
      <c r="I93" s="53"/>
      <c r="J93" s="53"/>
      <c r="K93" s="53"/>
      <c r="L93" s="53"/>
      <c r="M93" s="53"/>
      <c r="N93" s="53"/>
    </row>
    <row r="94" spans="1:14" x14ac:dyDescent="0.4">
      <c r="A94" s="2"/>
      <c r="B94" s="394"/>
      <c r="C94" s="3" t="s">
        <v>109</v>
      </c>
      <c r="D94" s="76" t="s">
        <v>84</v>
      </c>
      <c r="E94" s="76"/>
      <c r="F94" s="20"/>
      <c r="G94" s="70"/>
      <c r="H94" s="53"/>
      <c r="I94" s="53"/>
      <c r="J94" s="53"/>
      <c r="K94" s="53"/>
      <c r="L94" s="53"/>
      <c r="M94" s="53"/>
      <c r="N94" s="53"/>
    </row>
    <row r="95" spans="1:14" x14ac:dyDescent="0.4">
      <c r="A95" s="2"/>
      <c r="B95" s="394"/>
      <c r="C95" s="21" t="s">
        <v>235</v>
      </c>
      <c r="D95" s="76">
        <v>6.79</v>
      </c>
      <c r="E95" s="92">
        <f>539.16/13414.6</f>
        <v>4.0192029579711651E-2</v>
      </c>
      <c r="F95" s="101">
        <f>1938.99/15126.83*100</f>
        <v>12.818217696635713</v>
      </c>
      <c r="G95" s="70">
        <f>1767.21/1767.43</f>
        <v>0.99987552548049996</v>
      </c>
      <c r="H95" s="53"/>
      <c r="I95" s="53"/>
      <c r="J95" s="53"/>
      <c r="K95" s="53"/>
      <c r="L95" s="53"/>
      <c r="M95" s="53"/>
      <c r="N95" s="53"/>
    </row>
    <row r="96" spans="1:14" x14ac:dyDescent="0.4">
      <c r="A96" s="2"/>
      <c r="B96" s="394"/>
      <c r="C96" s="21" t="s">
        <v>327</v>
      </c>
      <c r="D96" s="76">
        <v>4.49</v>
      </c>
      <c r="E96" s="76">
        <f>-402.92/18290.58</f>
        <v>-2.2028825767143524E-2</v>
      </c>
      <c r="F96" s="101">
        <f>1489.8/15679.8*100</f>
        <v>9.5013967014885381</v>
      </c>
      <c r="G96" s="70">
        <f>156106919/130043390</f>
        <v>1.2004217899887106</v>
      </c>
      <c r="H96" s="53"/>
      <c r="I96" s="53"/>
      <c r="J96" s="53"/>
      <c r="K96" s="53"/>
      <c r="L96" s="53"/>
      <c r="M96" s="53"/>
      <c r="N96" s="53"/>
    </row>
    <row r="97" spans="1:14" x14ac:dyDescent="0.4">
      <c r="A97" s="2"/>
      <c r="B97" s="394"/>
      <c r="C97" s="21" t="s">
        <v>328</v>
      </c>
      <c r="D97" s="76">
        <v>15.6</v>
      </c>
      <c r="E97" s="93">
        <f>659.41/3171.76</f>
        <v>0.20790034554947409</v>
      </c>
      <c r="F97" s="101">
        <f>713.91/3433.93*100</f>
        <v>20.789882146694893</v>
      </c>
      <c r="G97" s="70">
        <f>105917/2930</f>
        <v>36.149146757679183</v>
      </c>
      <c r="H97" s="53"/>
      <c r="I97" s="53"/>
      <c r="J97" s="53"/>
      <c r="K97" s="53"/>
      <c r="L97" s="53"/>
      <c r="M97" s="53"/>
      <c r="N97" s="53"/>
    </row>
    <row r="98" spans="1:14" x14ac:dyDescent="0.4">
      <c r="A98" s="2"/>
      <c r="B98" s="394"/>
      <c r="C98" s="3" t="s">
        <v>74</v>
      </c>
      <c r="D98" s="127">
        <f>SUM(D95:D97)/3</f>
        <v>8.9600000000000009</v>
      </c>
      <c r="E98" s="127">
        <f>SUM(E95:E97)/3</f>
        <v>7.5354516454014073E-2</v>
      </c>
      <c r="F98" s="127">
        <f>SUM(F95:F97)/3</f>
        <v>14.369832181606382</v>
      </c>
      <c r="G98" s="70"/>
      <c r="H98" s="53"/>
      <c r="I98" s="53"/>
      <c r="J98" s="53"/>
      <c r="K98" s="53"/>
      <c r="L98" s="53"/>
      <c r="M98" s="53"/>
      <c r="N98" s="53"/>
    </row>
    <row r="99" spans="1:14" x14ac:dyDescent="0.35">
      <c r="A99" s="2"/>
      <c r="B99" s="394" t="s">
        <v>77</v>
      </c>
      <c r="C99" s="3" t="s">
        <v>329</v>
      </c>
      <c r="D99" s="65">
        <v>21.25</v>
      </c>
      <c r="E99" s="77">
        <f>9613.91*100000/24900000</f>
        <v>38.610080321285139</v>
      </c>
      <c r="F99" s="101">
        <f>10930.79*100000/24900000</f>
        <v>43.898755020080323</v>
      </c>
      <c r="G99" s="70">
        <f>12476.59/249</f>
        <v>50.106787148594378</v>
      </c>
      <c r="H99" s="53"/>
      <c r="I99" s="53"/>
      <c r="J99" s="53"/>
      <c r="K99" s="53"/>
      <c r="L99" s="53"/>
      <c r="M99" s="53"/>
      <c r="N99" s="53"/>
    </row>
    <row r="100" spans="1:14" x14ac:dyDescent="0.4">
      <c r="A100" s="2"/>
      <c r="B100" s="394"/>
      <c r="C100" s="3" t="s">
        <v>109</v>
      </c>
      <c r="D100" s="76" t="s">
        <v>84</v>
      </c>
      <c r="E100" s="76"/>
      <c r="F100" s="20"/>
      <c r="G100" s="70"/>
      <c r="H100" s="53"/>
      <c r="I100" s="53"/>
      <c r="J100" s="53"/>
      <c r="K100" s="53"/>
      <c r="L100" s="53"/>
      <c r="M100" s="53"/>
      <c r="N100" s="53"/>
    </row>
    <row r="101" spans="1:14" x14ac:dyDescent="0.4">
      <c r="A101" s="2"/>
      <c r="B101" s="411"/>
      <c r="C101" s="21" t="s">
        <v>235</v>
      </c>
      <c r="D101" s="76">
        <v>70.86</v>
      </c>
      <c r="E101" s="76">
        <f>13414.6/176.74</f>
        <v>75.900192372977259</v>
      </c>
      <c r="F101" s="101">
        <f>15126.83*100000/17674300</f>
        <v>85.586586173144056</v>
      </c>
      <c r="G101" s="70">
        <f>16608.87/176</f>
        <v>94.368579545454537</v>
      </c>
      <c r="H101" s="53"/>
      <c r="I101" s="53"/>
      <c r="J101" s="53"/>
      <c r="K101" s="53"/>
      <c r="L101" s="53"/>
      <c r="M101" s="53"/>
      <c r="N101" s="53"/>
    </row>
    <row r="102" spans="1:14" x14ac:dyDescent="0.4">
      <c r="A102" s="2"/>
      <c r="B102" s="411"/>
      <c r="C102" s="21" t="s">
        <v>327</v>
      </c>
      <c r="D102" s="76">
        <v>149.97999999999999</v>
      </c>
      <c r="E102" s="76">
        <f>18290.58/130.04</f>
        <v>140.65349123346664</v>
      </c>
      <c r="F102" s="101">
        <f>15679.8*100000/13004300</f>
        <v>120.57396399652423</v>
      </c>
      <c r="G102" s="70">
        <f>1942183528/13004339</f>
        <v>149.34888486066075</v>
      </c>
      <c r="H102" s="53"/>
      <c r="I102" s="53"/>
      <c r="J102" s="53"/>
      <c r="K102" s="53"/>
      <c r="L102" s="53"/>
      <c r="M102" s="53"/>
      <c r="N102" s="53"/>
    </row>
    <row r="103" spans="1:14" x14ac:dyDescent="0.4">
      <c r="A103" s="2"/>
      <c r="B103" s="411"/>
      <c r="C103" s="21" t="s">
        <v>328</v>
      </c>
      <c r="D103" s="76">
        <v>96.85</v>
      </c>
      <c r="E103" s="76">
        <f>3171.76/29.24</f>
        <v>108.4733242134063</v>
      </c>
      <c r="F103" s="101">
        <f>3433.93*1000000/29250000</f>
        <v>117.39931623931624</v>
      </c>
      <c r="G103" s="70">
        <f>438904/2930</f>
        <v>149.79658703071672</v>
      </c>
      <c r="H103" s="53"/>
      <c r="I103" s="53"/>
      <c r="J103" s="53"/>
      <c r="K103" s="53"/>
      <c r="L103" s="53"/>
      <c r="M103" s="53"/>
      <c r="N103" s="53"/>
    </row>
    <row r="104" spans="1:14" x14ac:dyDescent="0.4">
      <c r="A104" s="2"/>
      <c r="B104" s="411"/>
      <c r="C104" s="3" t="s">
        <v>74</v>
      </c>
      <c r="D104" s="127">
        <f>SUM(D101:D103)/3</f>
        <v>105.89666666666665</v>
      </c>
      <c r="E104" s="127">
        <f>SUM(E101:E103)/3</f>
        <v>108.34233593995005</v>
      </c>
      <c r="F104" s="127">
        <f>SUM(F101:F103)/3</f>
        <v>107.85328880299484</v>
      </c>
      <c r="G104" s="66"/>
      <c r="H104" s="53"/>
      <c r="I104" s="53"/>
      <c r="J104" s="53"/>
      <c r="K104" s="53"/>
      <c r="L104" s="53"/>
      <c r="M104" s="53"/>
      <c r="N104" s="53"/>
    </row>
    <row r="105" spans="1:14" x14ac:dyDescent="0.4">
      <c r="A105" s="2"/>
      <c r="B105" s="412" t="s">
        <v>110</v>
      </c>
      <c r="C105" s="413"/>
      <c r="D105" s="413"/>
      <c r="E105" s="413"/>
      <c r="F105" s="413"/>
      <c r="G105" s="414"/>
      <c r="H105" s="53"/>
      <c r="I105" s="53"/>
      <c r="J105" s="53"/>
      <c r="K105" s="53"/>
      <c r="L105" s="53"/>
      <c r="M105" s="53"/>
      <c r="N105" s="53"/>
    </row>
    <row r="106" spans="1:14" x14ac:dyDescent="0.4">
      <c r="A106" s="2"/>
      <c r="B106" s="415" t="s">
        <v>330</v>
      </c>
      <c r="C106" s="416"/>
      <c r="D106" s="416"/>
      <c r="E106" s="416"/>
      <c r="F106" s="416"/>
      <c r="G106" s="417"/>
      <c r="H106" s="53"/>
      <c r="I106" s="53"/>
      <c r="J106" s="53"/>
      <c r="K106" s="53"/>
      <c r="L106" s="53"/>
      <c r="M106" s="53"/>
      <c r="N106" s="53"/>
    </row>
    <row r="107" spans="1:14" x14ac:dyDescent="0.4">
      <c r="A107" s="2"/>
      <c r="B107" s="418" t="s">
        <v>85</v>
      </c>
      <c r="C107" s="419"/>
      <c r="D107" s="419"/>
      <c r="E107" s="419"/>
      <c r="F107" s="419"/>
      <c r="G107" s="420"/>
      <c r="H107" s="53"/>
      <c r="I107" s="53"/>
      <c r="J107" s="53"/>
      <c r="K107" s="53"/>
      <c r="L107" s="53"/>
      <c r="M107" s="53"/>
      <c r="N107" s="53"/>
    </row>
    <row r="108" spans="1:14" x14ac:dyDescent="0.4">
      <c r="A108" s="2"/>
      <c r="B108" s="363" t="s">
        <v>304</v>
      </c>
      <c r="C108" s="368"/>
      <c r="D108" s="368"/>
      <c r="E108" s="368"/>
      <c r="F108" s="368"/>
      <c r="G108" s="369"/>
      <c r="H108" s="53"/>
      <c r="I108" s="53"/>
      <c r="J108" s="53"/>
      <c r="K108" s="53"/>
      <c r="L108" s="53"/>
      <c r="M108" s="53"/>
      <c r="N108" s="53"/>
    </row>
    <row r="109" spans="1:14" x14ac:dyDescent="0.4">
      <c r="C109" s="407"/>
      <c r="D109" s="407"/>
      <c r="E109" s="407"/>
      <c r="F109" s="407"/>
      <c r="G109" s="407"/>
      <c r="H109" s="53"/>
      <c r="I109" s="53"/>
    </row>
    <row r="110" spans="1:14" x14ac:dyDescent="0.4">
      <c r="A110" s="9">
        <v>14</v>
      </c>
      <c r="B110" s="61" t="s">
        <v>78</v>
      </c>
      <c r="C110" s="356" t="s">
        <v>41</v>
      </c>
      <c r="D110" s="357"/>
      <c r="E110" s="357"/>
      <c r="F110" s="357"/>
      <c r="G110" s="408"/>
    </row>
    <row r="111" spans="1:14" x14ac:dyDescent="0.4">
      <c r="A111" s="23"/>
      <c r="C111" s="69"/>
      <c r="D111" s="69"/>
      <c r="E111" s="69"/>
      <c r="F111" s="69"/>
      <c r="G111" s="69"/>
    </row>
    <row r="112" spans="1:14" x14ac:dyDescent="0.4">
      <c r="B112" s="409" t="s">
        <v>331</v>
      </c>
      <c r="C112" s="410"/>
      <c r="D112" s="410"/>
      <c r="E112" s="410"/>
      <c r="F112" s="410"/>
      <c r="G112" s="410"/>
      <c r="H112" s="410"/>
    </row>
  </sheetData>
  <sheetProtection algorithmName="SHA-512" hashValue="gEuifxi5dteEN9Lb8Da/olE7GbMrkHdz2WN0RNkdn32vcwv/pJ0OVfLHFq7k6WRrxS1dUOCS+pxeCM1y70sU9w==" saltValue="x+uiKHqj1El6fZNL3fBshw==" spinCount="100000" sheet="1" objects="1" scenarios="1"/>
  <mergeCells count="59">
    <mergeCell ref="C21:E21"/>
    <mergeCell ref="A1:B1"/>
    <mergeCell ref="C5:E5"/>
    <mergeCell ref="B6:D6"/>
    <mergeCell ref="B9:D9"/>
    <mergeCell ref="C11:E11"/>
    <mergeCell ref="B12:D12"/>
    <mergeCell ref="B15:C15"/>
    <mergeCell ref="B17:E17"/>
    <mergeCell ref="C18:E18"/>
    <mergeCell ref="C19:E19"/>
    <mergeCell ref="C20:E20"/>
    <mergeCell ref="C45:E45"/>
    <mergeCell ref="C22:E22"/>
    <mergeCell ref="B23:E23"/>
    <mergeCell ref="B26:E26"/>
    <mergeCell ref="B27:E27"/>
    <mergeCell ref="B33:E33"/>
    <mergeCell ref="B35:E35"/>
    <mergeCell ref="B39:C39"/>
    <mergeCell ref="B42:E42"/>
    <mergeCell ref="C43:E43"/>
    <mergeCell ref="C44:E44"/>
    <mergeCell ref="C62:E62"/>
    <mergeCell ref="B46:E46"/>
    <mergeCell ref="B48:E48"/>
    <mergeCell ref="B50:E50"/>
    <mergeCell ref="B51:E51"/>
    <mergeCell ref="B52:E52"/>
    <mergeCell ref="B54:E54"/>
    <mergeCell ref="B55:B56"/>
    <mergeCell ref="C55:E56"/>
    <mergeCell ref="C57:E57"/>
    <mergeCell ref="C58:E58"/>
    <mergeCell ref="B59:E59"/>
    <mergeCell ref="B76:N76"/>
    <mergeCell ref="B68:B69"/>
    <mergeCell ref="C68:C69"/>
    <mergeCell ref="D68:D69"/>
    <mergeCell ref="E68:E69"/>
    <mergeCell ref="F68:H68"/>
    <mergeCell ref="I68:K68"/>
    <mergeCell ref="L68:N68"/>
    <mergeCell ref="B72:N72"/>
    <mergeCell ref="B73:N73"/>
    <mergeCell ref="B74:N74"/>
    <mergeCell ref="B75:N75"/>
    <mergeCell ref="B78:G78"/>
    <mergeCell ref="B81:B86"/>
    <mergeCell ref="B87:B92"/>
    <mergeCell ref="B93:B98"/>
    <mergeCell ref="B99:B104"/>
    <mergeCell ref="B112:H112"/>
    <mergeCell ref="B105:G105"/>
    <mergeCell ref="B106:G106"/>
    <mergeCell ref="B107:G107"/>
    <mergeCell ref="B108:G108"/>
    <mergeCell ref="C109:G109"/>
    <mergeCell ref="C110:G11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9"/>
  <sheetViews>
    <sheetView workbookViewId="0">
      <selection activeCell="F10" sqref="F10"/>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332</v>
      </c>
    </row>
    <row r="4" spans="1:5" x14ac:dyDescent="0.4">
      <c r="D4" s="5"/>
    </row>
    <row r="5" spans="1:5" ht="21" customHeight="1" x14ac:dyDescent="0.4">
      <c r="A5" s="6">
        <v>1</v>
      </c>
      <c r="B5" s="7" t="s">
        <v>3</v>
      </c>
      <c r="C5" s="356" t="s">
        <v>197</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333</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334</v>
      </c>
      <c r="D14" s="5"/>
    </row>
    <row r="15" spans="1:5" ht="14.35" customHeight="1" x14ac:dyDescent="0.4">
      <c r="A15" s="9"/>
      <c r="B15" s="363" t="s">
        <v>10</v>
      </c>
      <c r="C15" s="364"/>
      <c r="D15" s="5"/>
    </row>
    <row r="16" spans="1:5" x14ac:dyDescent="0.4">
      <c r="A16" s="9"/>
      <c r="D16" s="5"/>
    </row>
    <row r="17" spans="1:14" ht="30.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335</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336</v>
      </c>
      <c r="E28" s="18" t="s">
        <v>23</v>
      </c>
      <c r="F28" s="15"/>
    </row>
    <row r="29" spans="1:14" ht="12.7" customHeight="1" x14ac:dyDescent="0.4">
      <c r="A29" s="9"/>
      <c r="B29" s="19" t="s">
        <v>24</v>
      </c>
      <c r="C29" s="20">
        <v>5589.68</v>
      </c>
      <c r="D29" s="20">
        <v>8412.58</v>
      </c>
      <c r="E29" s="20">
        <v>13175.1</v>
      </c>
      <c r="F29" s="15"/>
    </row>
    <row r="30" spans="1:14" x14ac:dyDescent="0.4">
      <c r="A30" s="9"/>
      <c r="B30" s="19" t="s">
        <v>25</v>
      </c>
      <c r="C30" s="20">
        <v>153.16</v>
      </c>
      <c r="D30" s="20">
        <v>252.22</v>
      </c>
      <c r="E30" s="20">
        <v>380.05</v>
      </c>
      <c r="F30" s="15"/>
    </row>
    <row r="31" spans="1:14" x14ac:dyDescent="0.4">
      <c r="A31" s="9"/>
      <c r="B31" s="19" t="s">
        <v>26</v>
      </c>
      <c r="C31" s="20">
        <v>509.22</v>
      </c>
      <c r="D31" s="20">
        <v>609.22</v>
      </c>
      <c r="E31" s="20">
        <v>609.22</v>
      </c>
      <c r="F31" s="15"/>
    </row>
    <row r="32" spans="1:14" x14ac:dyDescent="0.4">
      <c r="A32" s="9"/>
      <c r="B32" s="19" t="s">
        <v>27</v>
      </c>
      <c r="C32" s="20">
        <v>877.27</v>
      </c>
      <c r="D32" s="20">
        <v>1729.49</v>
      </c>
      <c r="E32" s="20">
        <v>2109.5500000000002</v>
      </c>
      <c r="F32" s="15"/>
    </row>
    <row r="33" spans="1:10" x14ac:dyDescent="0.4">
      <c r="A33" s="9"/>
      <c r="B33" s="363" t="s">
        <v>17</v>
      </c>
      <c r="C33" s="368"/>
      <c r="D33" s="368"/>
      <c r="E33" s="369"/>
      <c r="F33" s="15"/>
    </row>
    <row r="34" spans="1:10" x14ac:dyDescent="0.4">
      <c r="A34" s="9"/>
      <c r="B34" s="13"/>
      <c r="C34" s="15"/>
      <c r="D34" s="15"/>
      <c r="E34" s="15"/>
      <c r="F34" s="15"/>
    </row>
    <row r="35" spans="1:10" ht="31.5" customHeight="1"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17</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83</v>
      </c>
      <c r="D43" s="374"/>
      <c r="E43" s="375"/>
      <c r="F43" s="13"/>
    </row>
    <row r="44" spans="1:10" x14ac:dyDescent="0.4">
      <c r="A44" s="9"/>
      <c r="B44" s="17" t="s">
        <v>31</v>
      </c>
      <c r="C44" s="446" t="s">
        <v>742</v>
      </c>
      <c r="D44" s="446"/>
      <c r="E44" s="446"/>
      <c r="F44" s="13"/>
    </row>
    <row r="45" spans="1:10" x14ac:dyDescent="0.4">
      <c r="A45" s="9"/>
      <c r="B45" s="17" t="s">
        <v>32</v>
      </c>
      <c r="C45" s="446" t="s">
        <v>79</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39.75" x14ac:dyDescent="0.4">
      <c r="A50" s="29"/>
      <c r="B50" s="78" t="s">
        <v>307</v>
      </c>
      <c r="C50" s="78" t="s">
        <v>337</v>
      </c>
      <c r="D50" s="28"/>
      <c r="E50" s="27"/>
    </row>
    <row r="51" spans="1:12" x14ac:dyDescent="0.4">
      <c r="A51" s="29"/>
      <c r="B51" s="363" t="s">
        <v>338</v>
      </c>
      <c r="C51" s="368"/>
      <c r="D51" s="368"/>
      <c r="E51" s="369"/>
    </row>
    <row r="52" spans="1:12" x14ac:dyDescent="0.4">
      <c r="A52" s="31"/>
      <c r="B52" s="380" t="s">
        <v>309</v>
      </c>
      <c r="C52" s="381"/>
      <c r="D52" s="381"/>
      <c r="E52" s="382"/>
      <c r="F52" s="15"/>
      <c r="G52" s="15"/>
      <c r="H52" s="15"/>
    </row>
    <row r="53" spans="1:12" x14ac:dyDescent="0.4">
      <c r="A53" s="32"/>
      <c r="B53" s="62"/>
      <c r="C53" s="23"/>
      <c r="D53" s="23"/>
      <c r="E53" s="23"/>
      <c r="F53" s="15"/>
      <c r="G53" s="15"/>
      <c r="H53" s="15"/>
      <c r="I53" s="15"/>
    </row>
    <row r="54" spans="1:12" x14ac:dyDescent="0.4">
      <c r="A54" s="24">
        <v>10</v>
      </c>
      <c r="B54" s="376" t="s">
        <v>36</v>
      </c>
      <c r="C54" s="365"/>
      <c r="D54" s="365"/>
      <c r="E54" s="365"/>
      <c r="F54" s="15"/>
      <c r="G54" s="15"/>
      <c r="H54" s="15"/>
    </row>
    <row r="55" spans="1:12" x14ac:dyDescent="0.4">
      <c r="A55" s="29"/>
      <c r="B55" s="383" t="s">
        <v>43</v>
      </c>
      <c r="C55" s="385" t="s">
        <v>339</v>
      </c>
      <c r="D55" s="386"/>
      <c r="E55" s="387"/>
      <c r="K55" s="1"/>
    </row>
    <row r="56" spans="1:12" x14ac:dyDescent="0.4">
      <c r="A56" s="29"/>
      <c r="B56" s="384"/>
      <c r="C56" s="388"/>
      <c r="D56" s="389"/>
      <c r="E56" s="390"/>
      <c r="K56" s="1"/>
    </row>
    <row r="57" spans="1:12" x14ac:dyDescent="0.4">
      <c r="A57" s="24"/>
      <c r="B57" s="33" t="s">
        <v>44</v>
      </c>
      <c r="C57" s="391" t="s">
        <v>186</v>
      </c>
      <c r="D57" s="391"/>
      <c r="E57" s="391"/>
    </row>
    <row r="58" spans="1:12" x14ac:dyDescent="0.4">
      <c r="A58" s="29"/>
      <c r="B58" s="33" t="s">
        <v>45</v>
      </c>
      <c r="C58" s="391" t="s">
        <v>46</v>
      </c>
      <c r="D58" s="391"/>
      <c r="E58" s="391"/>
      <c r="K58" s="34"/>
    </row>
    <row r="59" spans="1:12" x14ac:dyDescent="0.4">
      <c r="A59" s="29"/>
      <c r="B59" s="380" t="s">
        <v>340</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341</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342</v>
      </c>
      <c r="D69" s="366" t="s">
        <v>343</v>
      </c>
      <c r="E69" s="403" t="s">
        <v>323</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32.4</v>
      </c>
      <c r="D71" s="46">
        <v>38.299999999999997</v>
      </c>
      <c r="E71" s="46">
        <v>38.5</v>
      </c>
      <c r="F71" s="46">
        <v>39.15</v>
      </c>
      <c r="G71" s="46">
        <v>46</v>
      </c>
      <c r="H71" s="45">
        <v>29</v>
      </c>
      <c r="I71" s="45">
        <v>69</v>
      </c>
      <c r="J71" s="45">
        <v>72.400000000000006</v>
      </c>
      <c r="K71" s="45">
        <v>32.6</v>
      </c>
      <c r="L71" s="45">
        <v>45.5</v>
      </c>
      <c r="M71" s="45">
        <v>98.8</v>
      </c>
      <c r="N71" s="45">
        <v>32.15</v>
      </c>
    </row>
    <row r="72" spans="1:14" ht="25.65" x14ac:dyDescent="0.35">
      <c r="A72" s="2"/>
      <c r="B72" s="17" t="s">
        <v>62</v>
      </c>
      <c r="C72" s="45">
        <v>29442.63</v>
      </c>
      <c r="D72" s="45">
        <v>29461.45</v>
      </c>
      <c r="E72" s="45">
        <v>31095.7</v>
      </c>
      <c r="F72" s="46">
        <v>29620.5</v>
      </c>
      <c r="G72" s="46">
        <v>29167.68</v>
      </c>
      <c r="H72" s="48">
        <v>29442.63</v>
      </c>
      <c r="I72" s="46">
        <v>32968.68</v>
      </c>
      <c r="J72" s="46">
        <v>36443.980000000003</v>
      </c>
      <c r="K72" s="48">
        <v>29241.48</v>
      </c>
      <c r="L72" s="45">
        <v>38672.910000000003</v>
      </c>
      <c r="M72" s="45">
        <v>38989.65</v>
      </c>
      <c r="N72" s="45">
        <v>32972.559999999998</v>
      </c>
    </row>
    <row r="73" spans="1:14" x14ac:dyDescent="0.4">
      <c r="A73" s="2"/>
      <c r="B73" s="401" t="s">
        <v>17</v>
      </c>
      <c r="C73" s="401"/>
      <c r="D73" s="401"/>
      <c r="E73" s="401"/>
      <c r="F73" s="401"/>
      <c r="G73" s="401"/>
      <c r="H73" s="401"/>
      <c r="I73" s="401"/>
      <c r="J73" s="401"/>
      <c r="K73" s="401"/>
      <c r="L73" s="401"/>
      <c r="M73" s="401"/>
      <c r="N73" s="401"/>
    </row>
    <row r="74" spans="1:14" x14ac:dyDescent="0.4">
      <c r="A74" s="2"/>
      <c r="B74" s="359" t="s">
        <v>63</v>
      </c>
      <c r="C74" s="359"/>
      <c r="D74" s="359"/>
      <c r="E74" s="359"/>
      <c r="F74" s="359"/>
      <c r="G74" s="359"/>
      <c r="H74" s="359"/>
      <c r="I74" s="359"/>
      <c r="J74" s="359"/>
      <c r="K74" s="359"/>
      <c r="L74" s="359"/>
      <c r="M74" s="359"/>
      <c r="N74" s="359"/>
    </row>
    <row r="75" spans="1:14" s="1" customFormat="1" x14ac:dyDescent="0.4">
      <c r="B75" s="359" t="s">
        <v>64</v>
      </c>
      <c r="C75" s="359"/>
      <c r="D75" s="359"/>
      <c r="E75" s="359"/>
      <c r="F75" s="359"/>
      <c r="G75" s="359"/>
      <c r="H75" s="359"/>
      <c r="I75" s="359"/>
      <c r="J75" s="359"/>
      <c r="K75" s="359"/>
      <c r="L75" s="359"/>
      <c r="M75" s="359"/>
      <c r="N75" s="359"/>
    </row>
    <row r="76" spans="1:14" x14ac:dyDescent="0.4">
      <c r="A76" s="2"/>
      <c r="B76" s="359" t="s">
        <v>80</v>
      </c>
      <c r="C76" s="359"/>
      <c r="D76" s="359"/>
      <c r="E76" s="359"/>
      <c r="F76" s="359"/>
      <c r="G76" s="359"/>
      <c r="H76" s="359"/>
      <c r="I76" s="359"/>
      <c r="J76" s="359"/>
      <c r="K76" s="359"/>
      <c r="L76" s="359"/>
      <c r="M76" s="359"/>
      <c r="N76" s="359"/>
    </row>
    <row r="77" spans="1:14" x14ac:dyDescent="0.4">
      <c r="A77" s="2"/>
      <c r="B77" s="359" t="s">
        <v>65</v>
      </c>
      <c r="C77" s="359"/>
      <c r="D77" s="359"/>
      <c r="E77" s="359"/>
      <c r="F77" s="359"/>
      <c r="G77" s="359"/>
      <c r="H77" s="359"/>
      <c r="I77" s="359"/>
      <c r="J77" s="359"/>
      <c r="K77" s="359"/>
      <c r="L77" s="359"/>
      <c r="M77" s="359"/>
      <c r="N77" s="359"/>
    </row>
    <row r="78" spans="1:14" x14ac:dyDescent="0.4">
      <c r="A78" s="2"/>
      <c r="B78" s="49"/>
      <c r="C78" s="49"/>
      <c r="D78" s="49"/>
      <c r="E78" s="49"/>
      <c r="F78" s="49"/>
      <c r="G78" s="13"/>
      <c r="H78" s="13"/>
      <c r="I78" s="13"/>
      <c r="J78" s="13"/>
      <c r="K78" s="13"/>
      <c r="L78" s="13"/>
      <c r="M78" s="13"/>
      <c r="N78" s="13"/>
    </row>
    <row r="79" spans="1:14" x14ac:dyDescent="0.4">
      <c r="A79" s="9">
        <v>13</v>
      </c>
      <c r="B79" s="405" t="s">
        <v>66</v>
      </c>
      <c r="C79" s="406"/>
      <c r="D79" s="406"/>
      <c r="E79" s="406"/>
      <c r="F79" s="406"/>
      <c r="G79" s="376"/>
      <c r="H79" s="11"/>
      <c r="I79" s="11"/>
      <c r="J79" s="11"/>
      <c r="K79" s="11"/>
      <c r="L79" s="11"/>
      <c r="M79" s="11"/>
      <c r="N79" s="11"/>
    </row>
    <row r="80" spans="1:14" x14ac:dyDescent="0.4">
      <c r="A80" s="9"/>
      <c r="C80" s="15"/>
      <c r="D80" s="15"/>
      <c r="E80" s="15"/>
      <c r="F80" s="15"/>
      <c r="G80" s="15"/>
      <c r="H80" s="15"/>
      <c r="I80" s="15"/>
      <c r="J80" s="15"/>
      <c r="K80" s="15"/>
      <c r="L80" s="15"/>
      <c r="M80" s="15"/>
      <c r="N80" s="15"/>
    </row>
    <row r="81" spans="1:14" ht="102.5" x14ac:dyDescent="0.4">
      <c r="A81" s="2"/>
      <c r="B81" s="50" t="s">
        <v>67</v>
      </c>
      <c r="C81" s="18" t="s">
        <v>68</v>
      </c>
      <c r="D81" s="18" t="s">
        <v>69</v>
      </c>
      <c r="E81" s="18" t="s">
        <v>218</v>
      </c>
      <c r="F81" s="18" t="s">
        <v>71</v>
      </c>
      <c r="G81" s="18" t="s">
        <v>107</v>
      </c>
      <c r="H81" s="13"/>
      <c r="I81" s="13"/>
      <c r="J81" s="13"/>
      <c r="K81" s="13"/>
      <c r="L81" s="13"/>
      <c r="M81" s="13"/>
      <c r="N81" s="13"/>
    </row>
    <row r="82" spans="1:14" ht="12.7" customHeight="1" x14ac:dyDescent="0.35">
      <c r="A82" s="2"/>
      <c r="B82" s="394" t="s">
        <v>72</v>
      </c>
      <c r="C82" s="3" t="s">
        <v>344</v>
      </c>
      <c r="D82" s="65">
        <v>1.83</v>
      </c>
      <c r="E82" s="66">
        <v>3.5</v>
      </c>
      <c r="F82" s="66">
        <v>4.87</v>
      </c>
      <c r="G82" s="21">
        <v>6.15</v>
      </c>
      <c r="H82" s="53"/>
      <c r="I82" s="53"/>
      <c r="J82" s="53"/>
      <c r="K82" s="53"/>
      <c r="L82" s="53"/>
      <c r="M82" s="53"/>
      <c r="N82" s="53"/>
    </row>
    <row r="83" spans="1:14" x14ac:dyDescent="0.4">
      <c r="A83" s="2"/>
      <c r="B83" s="394"/>
      <c r="C83" s="3" t="s">
        <v>73</v>
      </c>
      <c r="D83" s="76" t="s">
        <v>84</v>
      </c>
      <c r="E83" s="66"/>
      <c r="F83" s="66"/>
      <c r="G83" s="21"/>
      <c r="H83" s="53"/>
      <c r="I83" s="53"/>
      <c r="J83" s="53"/>
      <c r="K83" s="53"/>
      <c r="L83" s="53"/>
      <c r="M83" s="53"/>
      <c r="N83" s="53"/>
    </row>
    <row r="84" spans="1:14" x14ac:dyDescent="0.4">
      <c r="A84" s="2"/>
      <c r="B84" s="394"/>
      <c r="C84" s="21" t="s">
        <v>345</v>
      </c>
      <c r="D84" s="76">
        <v>7.65</v>
      </c>
      <c r="E84" s="66">
        <v>6.65</v>
      </c>
      <c r="F84" s="66">
        <v>10.88</v>
      </c>
      <c r="G84" s="21">
        <v>4.91</v>
      </c>
      <c r="H84" s="53"/>
      <c r="I84" s="53"/>
      <c r="J84" s="53"/>
      <c r="K84" s="53"/>
      <c r="L84" s="53"/>
      <c r="M84" s="53"/>
      <c r="N84" s="53"/>
    </row>
    <row r="85" spans="1:14" x14ac:dyDescent="0.4">
      <c r="A85" s="2"/>
      <c r="B85" s="394"/>
      <c r="C85" s="21" t="s">
        <v>346</v>
      </c>
      <c r="D85" s="76">
        <v>5.2729999999999997</v>
      </c>
      <c r="E85" s="66">
        <v>10.72</v>
      </c>
      <c r="F85" s="66">
        <v>7.26</v>
      </c>
      <c r="G85" s="21">
        <v>18.690000000000001</v>
      </c>
      <c r="H85" s="53"/>
      <c r="I85" s="53"/>
      <c r="J85" s="53"/>
      <c r="K85" s="53"/>
      <c r="L85" s="53"/>
      <c r="M85" s="53"/>
      <c r="N85" s="53"/>
    </row>
    <row r="86" spans="1:14" x14ac:dyDescent="0.4">
      <c r="A86" s="2"/>
      <c r="B86" s="394"/>
      <c r="C86" s="3" t="s">
        <v>74</v>
      </c>
      <c r="D86" s="127">
        <f>SUM(D84:D85)/2</f>
        <v>6.4615</v>
      </c>
      <c r="E86" s="128">
        <f>SUM(E84:E85)/2</f>
        <v>8.6850000000000005</v>
      </c>
      <c r="F86" s="79">
        <f>SUM(F84:F85)/2</f>
        <v>9.07</v>
      </c>
      <c r="G86" s="130">
        <f>SUM(G84:G85)/2</f>
        <v>11.8</v>
      </c>
      <c r="H86" s="53"/>
      <c r="I86" s="53"/>
      <c r="J86" s="53"/>
      <c r="K86" s="53"/>
      <c r="L86" s="53"/>
      <c r="M86" s="53"/>
      <c r="N86" s="53"/>
    </row>
    <row r="87" spans="1:14" x14ac:dyDescent="0.35">
      <c r="A87" s="2"/>
      <c r="B87" s="394" t="s">
        <v>75</v>
      </c>
      <c r="C87" s="3" t="s">
        <v>344</v>
      </c>
      <c r="D87" s="77">
        <v>14.75</v>
      </c>
      <c r="E87" s="66">
        <v>11.19</v>
      </c>
      <c r="F87" s="70">
        <f>I71/F82</f>
        <v>14.168377823408624</v>
      </c>
      <c r="G87" s="120">
        <f>L71/G82</f>
        <v>7.3983739837398366</v>
      </c>
      <c r="H87" s="53"/>
      <c r="I87" s="53"/>
      <c r="J87" s="53"/>
      <c r="K87" s="53"/>
      <c r="L87" s="53"/>
      <c r="M87" s="53"/>
      <c r="N87" s="53"/>
    </row>
    <row r="88" spans="1:14" x14ac:dyDescent="0.4">
      <c r="A88" s="2"/>
      <c r="B88" s="394"/>
      <c r="C88" s="3" t="s">
        <v>73</v>
      </c>
      <c r="D88" s="76" t="s">
        <v>84</v>
      </c>
      <c r="E88" s="66"/>
      <c r="F88" s="66"/>
      <c r="G88" s="21"/>
      <c r="H88" s="53"/>
      <c r="I88" s="53"/>
      <c r="J88" s="53"/>
      <c r="K88" s="53"/>
      <c r="L88" s="53"/>
      <c r="M88" s="53"/>
      <c r="N88" s="53"/>
    </row>
    <row r="89" spans="1:14" x14ac:dyDescent="0.4">
      <c r="A89" s="2"/>
      <c r="B89" s="394"/>
      <c r="C89" s="21" t="s">
        <v>345</v>
      </c>
      <c r="D89" s="76">
        <v>16.98</v>
      </c>
      <c r="E89" s="66">
        <v>22.72</v>
      </c>
      <c r="F89" s="70">
        <f>182.05/F84</f>
        <v>16.73253676470588</v>
      </c>
      <c r="G89" s="120">
        <f>70.05/G84</f>
        <v>14.266802443991851</v>
      </c>
      <c r="H89" s="53"/>
      <c r="I89" s="53"/>
      <c r="J89" s="53"/>
      <c r="K89" s="53"/>
      <c r="L89" s="53"/>
      <c r="M89" s="53"/>
      <c r="N89" s="53"/>
    </row>
    <row r="90" spans="1:14" x14ac:dyDescent="0.4">
      <c r="A90" s="2"/>
      <c r="B90" s="394"/>
      <c r="C90" s="21" t="s">
        <v>346</v>
      </c>
      <c r="D90" s="76">
        <v>20.25</v>
      </c>
      <c r="E90" s="66">
        <v>9.94</v>
      </c>
      <c r="F90" s="70">
        <f>125.6/F85</f>
        <v>17.300275482093664</v>
      </c>
      <c r="G90" s="120">
        <f>134/G85</f>
        <v>7.1696094168004274</v>
      </c>
      <c r="H90" s="53"/>
      <c r="I90" s="53"/>
      <c r="J90" s="53"/>
      <c r="K90" s="53"/>
      <c r="L90" s="53"/>
      <c r="M90" s="53"/>
      <c r="N90" s="53"/>
    </row>
    <row r="91" spans="1:14" x14ac:dyDescent="0.4">
      <c r="A91" s="2"/>
      <c r="B91" s="394"/>
      <c r="C91" s="3" t="s">
        <v>74</v>
      </c>
      <c r="D91" s="127">
        <f>SUM(D89:D90)/2</f>
        <v>18.615000000000002</v>
      </c>
      <c r="E91" s="128">
        <f>SUM(E89:E90)/2</f>
        <v>16.329999999999998</v>
      </c>
      <c r="F91" s="128">
        <f>SUM(F89:F90)/2</f>
        <v>17.016406123399772</v>
      </c>
      <c r="G91" s="128">
        <f>SUM(G89:G90)/2</f>
        <v>10.71820593039614</v>
      </c>
      <c r="H91" s="53"/>
      <c r="I91" s="53"/>
      <c r="J91" s="53"/>
      <c r="K91" s="53"/>
      <c r="L91" s="53"/>
      <c r="M91" s="53"/>
      <c r="N91" s="53"/>
    </row>
    <row r="92" spans="1:14" x14ac:dyDescent="0.35">
      <c r="A92" s="2"/>
      <c r="B92" s="394" t="s">
        <v>76</v>
      </c>
      <c r="C92" s="3" t="s">
        <v>344</v>
      </c>
      <c r="D92" s="65">
        <v>7.82</v>
      </c>
      <c r="E92" s="66">
        <v>11.03</v>
      </c>
      <c r="F92" s="94">
        <f>252.22/2338.71</f>
        <v>0.10784577822816852</v>
      </c>
      <c r="G92" s="120">
        <f>380.05/2718.77*100</f>
        <v>13.978747742545341</v>
      </c>
      <c r="H92" s="53"/>
      <c r="I92" s="53"/>
      <c r="J92" s="53"/>
      <c r="K92" s="53"/>
      <c r="L92" s="53"/>
      <c r="M92" s="53"/>
      <c r="N92" s="53"/>
    </row>
    <row r="93" spans="1:14" x14ac:dyDescent="0.4">
      <c r="A93" s="2"/>
      <c r="B93" s="394"/>
      <c r="C93" s="3" t="s">
        <v>73</v>
      </c>
      <c r="D93" s="76" t="s">
        <v>84</v>
      </c>
      <c r="E93" s="66"/>
      <c r="F93" s="66"/>
      <c r="G93" s="21"/>
      <c r="H93" s="53"/>
      <c r="I93" s="53"/>
      <c r="J93" s="53"/>
      <c r="K93" s="53"/>
      <c r="L93" s="53"/>
      <c r="M93" s="53"/>
      <c r="N93" s="53"/>
    </row>
    <row r="94" spans="1:14" x14ac:dyDescent="0.4">
      <c r="A94" s="2"/>
      <c r="B94" s="394"/>
      <c r="C94" s="21" t="s">
        <v>345</v>
      </c>
      <c r="D94" s="76">
        <v>10.32</v>
      </c>
      <c r="E94" s="66">
        <v>13.55</v>
      </c>
      <c r="F94" s="94">
        <f>1993.08/12811.41</f>
        <v>0.1555706983072121</v>
      </c>
      <c r="G94" s="120">
        <f>933/14143.88*100</f>
        <v>6.5964926173016174</v>
      </c>
      <c r="H94" s="53"/>
      <c r="I94" s="53"/>
      <c r="J94" s="53"/>
      <c r="K94" s="53"/>
      <c r="L94" s="53"/>
      <c r="M94" s="53"/>
      <c r="N94" s="53"/>
    </row>
    <row r="95" spans="1:14" x14ac:dyDescent="0.4">
      <c r="A95" s="2"/>
      <c r="B95" s="394"/>
      <c r="C95" s="21" t="s">
        <v>346</v>
      </c>
      <c r="D95" s="76">
        <v>9.19</v>
      </c>
      <c r="E95" s="66">
        <v>8.19</v>
      </c>
      <c r="F95" s="71">
        <f>217.74/4142.1</f>
        <v>5.2567538205258203E-2</v>
      </c>
      <c r="G95" s="120">
        <f>560.87/4702.97*100</f>
        <v>11.925868121633776</v>
      </c>
      <c r="H95" s="53"/>
      <c r="I95" s="53"/>
      <c r="J95" s="53"/>
      <c r="K95" s="53"/>
      <c r="L95" s="53"/>
      <c r="M95" s="53"/>
      <c r="N95" s="53"/>
    </row>
    <row r="96" spans="1:14" x14ac:dyDescent="0.4">
      <c r="A96" s="2"/>
      <c r="B96" s="394"/>
      <c r="C96" s="3" t="s">
        <v>74</v>
      </c>
      <c r="D96" s="127">
        <f>SUM(D94:D95)/2</f>
        <v>9.754999999999999</v>
      </c>
      <c r="E96" s="128">
        <f>SUM(E94:E95)/2</f>
        <v>10.870000000000001</v>
      </c>
      <c r="F96" s="128">
        <f>SUM(F94:F95)/2</f>
        <v>0.10406911825623515</v>
      </c>
      <c r="G96" s="128">
        <f>SUM(G94:G95)/2</f>
        <v>9.2611803694676968</v>
      </c>
      <c r="H96" s="53"/>
      <c r="I96" s="53"/>
      <c r="J96" s="53"/>
      <c r="K96" s="57"/>
      <c r="L96" s="53"/>
      <c r="M96" s="53"/>
      <c r="N96" s="53"/>
    </row>
    <row r="97" spans="1:14" x14ac:dyDescent="0.35">
      <c r="A97" s="2"/>
      <c r="B97" s="394" t="s">
        <v>77</v>
      </c>
      <c r="C97" s="3" t="s">
        <v>344</v>
      </c>
      <c r="D97" s="65">
        <v>93.41</v>
      </c>
      <c r="E97" s="66">
        <v>27.23</v>
      </c>
      <c r="F97" s="70">
        <f>2338.71/60.92</f>
        <v>38.389855548260016</v>
      </c>
      <c r="G97" s="120">
        <f>271876792.01/6092200</f>
        <v>44.627029974393487</v>
      </c>
      <c r="H97" s="53"/>
      <c r="I97" s="53"/>
      <c r="J97" s="53"/>
      <c r="K97" s="53"/>
      <c r="L97" s="53"/>
      <c r="M97" s="53"/>
      <c r="N97" s="53"/>
    </row>
    <row r="98" spans="1:14" x14ac:dyDescent="0.4">
      <c r="A98" s="2"/>
      <c r="B98" s="394"/>
      <c r="C98" s="3" t="s">
        <v>73</v>
      </c>
      <c r="D98" s="76" t="s">
        <v>84</v>
      </c>
      <c r="E98" s="66"/>
      <c r="F98" s="66"/>
      <c r="G98" s="21"/>
      <c r="H98" s="53"/>
      <c r="I98" s="53"/>
      <c r="J98" s="53"/>
      <c r="K98" s="53"/>
      <c r="L98" s="53"/>
      <c r="M98" s="53"/>
      <c r="N98" s="53"/>
    </row>
    <row r="99" spans="1:14" x14ac:dyDescent="0.4">
      <c r="A99" s="2"/>
      <c r="B99" s="411"/>
      <c r="C99" s="21" t="s">
        <v>345</v>
      </c>
      <c r="D99" s="76">
        <v>47.3</v>
      </c>
      <c r="E99" s="66">
        <v>49.05</v>
      </c>
      <c r="F99" s="70">
        <f>12811.41/183.27</f>
        <v>69.904567032247499</v>
      </c>
      <c r="G99" s="120">
        <f>14143.88*100000/19115000</f>
        <v>73.993617577818469</v>
      </c>
      <c r="H99" s="53"/>
      <c r="I99" s="53"/>
      <c r="J99" s="53"/>
      <c r="K99" s="53"/>
      <c r="L99" s="53"/>
      <c r="M99" s="53"/>
      <c r="N99" s="53"/>
    </row>
    <row r="100" spans="1:14" x14ac:dyDescent="0.4">
      <c r="A100" s="2"/>
      <c r="B100" s="411"/>
      <c r="C100" s="21" t="s">
        <v>346</v>
      </c>
      <c r="D100" s="76">
        <v>122.32</v>
      </c>
      <c r="E100" s="66">
        <v>130.72</v>
      </c>
      <c r="F100" s="66">
        <f>4142.1/30</f>
        <v>138.07000000000002</v>
      </c>
      <c r="G100" s="120">
        <f>4702.97*100000/3000200</f>
        <v>156.75521631891206</v>
      </c>
      <c r="H100" s="53"/>
      <c r="I100" s="53"/>
      <c r="J100" s="53"/>
      <c r="K100" s="53"/>
      <c r="L100" s="53"/>
      <c r="M100" s="53"/>
      <c r="N100" s="53"/>
    </row>
    <row r="101" spans="1:14" x14ac:dyDescent="0.4">
      <c r="A101" s="2"/>
      <c r="B101" s="411"/>
      <c r="C101" s="3" t="s">
        <v>74</v>
      </c>
      <c r="D101" s="127">
        <f>SUM(D99:D100)/2</f>
        <v>84.81</v>
      </c>
      <c r="E101" s="128">
        <f>SUM(E99:E100)/2</f>
        <v>89.884999999999991</v>
      </c>
      <c r="F101" s="128">
        <f>SUM(F99:F100)/2</f>
        <v>103.98728351612377</v>
      </c>
      <c r="G101" s="128">
        <f>SUM(G99:G100)/2</f>
        <v>115.37441694836527</v>
      </c>
      <c r="H101" s="53"/>
      <c r="I101" s="53"/>
      <c r="J101" s="53"/>
      <c r="K101" s="53"/>
      <c r="L101" s="53"/>
      <c r="M101" s="53"/>
      <c r="N101" s="53"/>
    </row>
    <row r="102" spans="1:14" s="1" customFormat="1" x14ac:dyDescent="0.4">
      <c r="B102" s="412"/>
      <c r="C102" s="413"/>
      <c r="D102" s="413"/>
      <c r="E102" s="413"/>
      <c r="F102" s="413"/>
      <c r="G102" s="414"/>
    </row>
    <row r="103" spans="1:14" x14ac:dyDescent="0.4">
      <c r="A103" s="2"/>
      <c r="B103" s="415" t="s">
        <v>347</v>
      </c>
      <c r="C103" s="416"/>
      <c r="D103" s="416"/>
      <c r="E103" s="416"/>
      <c r="F103" s="416"/>
      <c r="G103" s="417"/>
      <c r="H103" s="53"/>
      <c r="I103" s="53"/>
      <c r="J103" s="53"/>
      <c r="K103" s="53"/>
      <c r="L103" s="53"/>
      <c r="M103" s="53"/>
      <c r="N103" s="53"/>
    </row>
    <row r="104" spans="1:14" x14ac:dyDescent="0.4">
      <c r="A104" s="2"/>
      <c r="B104" s="418" t="s">
        <v>85</v>
      </c>
      <c r="C104" s="419"/>
      <c r="D104" s="419"/>
      <c r="E104" s="419"/>
      <c r="F104" s="419"/>
      <c r="G104" s="420"/>
      <c r="H104" s="53"/>
      <c r="I104" s="53"/>
      <c r="J104" s="53"/>
      <c r="K104" s="53"/>
      <c r="L104" s="53"/>
      <c r="M104" s="53"/>
      <c r="N104" s="53"/>
    </row>
    <row r="105" spans="1:14" x14ac:dyDescent="0.4">
      <c r="A105" s="2"/>
      <c r="B105" s="363"/>
      <c r="C105" s="368"/>
      <c r="D105" s="368"/>
      <c r="E105" s="368"/>
      <c r="F105" s="368"/>
      <c r="G105" s="369"/>
      <c r="H105" s="53"/>
      <c r="I105" s="53"/>
      <c r="J105" s="53"/>
      <c r="K105" s="53"/>
      <c r="L105" s="53"/>
      <c r="M105" s="53"/>
      <c r="N105" s="53"/>
    </row>
    <row r="106" spans="1:14" x14ac:dyDescent="0.4">
      <c r="C106" s="407"/>
      <c r="D106" s="407"/>
      <c r="E106" s="407"/>
      <c r="F106" s="407"/>
      <c r="G106" s="407"/>
      <c r="H106" s="53"/>
      <c r="I106" s="53"/>
    </row>
    <row r="107" spans="1:14" x14ac:dyDescent="0.4">
      <c r="A107" s="9">
        <v>14</v>
      </c>
      <c r="B107" s="61" t="s">
        <v>78</v>
      </c>
      <c r="C107" s="356" t="s">
        <v>41</v>
      </c>
      <c r="D107" s="357"/>
      <c r="E107" s="357"/>
      <c r="F107" s="357"/>
      <c r="G107" s="408"/>
    </row>
    <row r="108" spans="1:14" x14ac:dyDescent="0.4">
      <c r="A108" s="23"/>
      <c r="C108" s="69"/>
      <c r="D108" s="69"/>
      <c r="E108" s="69"/>
      <c r="F108" s="69"/>
      <c r="G108" s="69"/>
    </row>
    <row r="109" spans="1:14" x14ac:dyDescent="0.4">
      <c r="B109" s="409" t="s">
        <v>348</v>
      </c>
      <c r="C109" s="410"/>
      <c r="D109" s="410"/>
      <c r="E109" s="410"/>
      <c r="F109" s="410"/>
      <c r="G109" s="410"/>
      <c r="H109" s="410"/>
    </row>
  </sheetData>
  <sheetProtection password="E9DF" sheet="1" objects="1" scenarios="1"/>
  <mergeCells count="59">
    <mergeCell ref="B109:H109"/>
    <mergeCell ref="B102:G102"/>
    <mergeCell ref="B103:G103"/>
    <mergeCell ref="B104:G104"/>
    <mergeCell ref="B105:G105"/>
    <mergeCell ref="C106:G106"/>
    <mergeCell ref="C107:G107"/>
    <mergeCell ref="B76:N76"/>
    <mergeCell ref="B77:N77"/>
    <mergeCell ref="B79:G79"/>
    <mergeCell ref="B82:B86"/>
    <mergeCell ref="B87:B91"/>
    <mergeCell ref="B92:B96"/>
    <mergeCell ref="B97:B101"/>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55:B56"/>
    <mergeCell ref="C55:E56"/>
    <mergeCell ref="B35:E35"/>
    <mergeCell ref="B39:C39"/>
    <mergeCell ref="B42:E42"/>
    <mergeCell ref="C43:E43"/>
    <mergeCell ref="C44:E44"/>
    <mergeCell ref="C45:E45"/>
    <mergeCell ref="B46:E46"/>
    <mergeCell ref="B48:E48"/>
    <mergeCell ref="B51:E51"/>
    <mergeCell ref="B52:E52"/>
    <mergeCell ref="B54:E54"/>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09"/>
  <sheetViews>
    <sheetView topLeftCell="A88"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349</v>
      </c>
    </row>
    <row r="4" spans="1:5" x14ac:dyDescent="0.4">
      <c r="D4" s="5"/>
    </row>
    <row r="5" spans="1:5" ht="21" customHeight="1" x14ac:dyDescent="0.4">
      <c r="A5" s="6">
        <v>1</v>
      </c>
      <c r="B5" s="7" t="s">
        <v>3</v>
      </c>
      <c r="C5" s="356" t="s">
        <v>350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351</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352</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335</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27.7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23</v>
      </c>
      <c r="F28" s="15"/>
    </row>
    <row r="29" spans="1:14" ht="12.7" customHeight="1" x14ac:dyDescent="0.4">
      <c r="A29" s="9"/>
      <c r="B29" s="19" t="s">
        <v>24</v>
      </c>
      <c r="C29" s="20">
        <v>2636.56</v>
      </c>
      <c r="D29" s="20">
        <v>3355.17</v>
      </c>
      <c r="E29" s="20">
        <v>3198.36</v>
      </c>
      <c r="F29" s="15"/>
    </row>
    <row r="30" spans="1:14" x14ac:dyDescent="0.4">
      <c r="A30" s="9"/>
      <c r="B30" s="19" t="s">
        <v>25</v>
      </c>
      <c r="C30" s="20">
        <v>501.38</v>
      </c>
      <c r="D30" s="20">
        <v>696.28</v>
      </c>
      <c r="E30" s="20">
        <v>666.66</v>
      </c>
      <c r="F30" s="15"/>
    </row>
    <row r="31" spans="1:14" x14ac:dyDescent="0.4">
      <c r="A31" s="9"/>
      <c r="B31" s="19" t="s">
        <v>26</v>
      </c>
      <c r="C31" s="20">
        <v>248.3</v>
      </c>
      <c r="D31" s="20">
        <v>248.3</v>
      </c>
      <c r="E31" s="20">
        <v>248.3</v>
      </c>
      <c r="F31" s="15"/>
    </row>
    <row r="32" spans="1:14" x14ac:dyDescent="0.4">
      <c r="A32" s="9"/>
      <c r="B32" s="19" t="s">
        <v>27</v>
      </c>
      <c r="C32" s="20">
        <v>468.29</v>
      </c>
      <c r="D32" s="20">
        <v>2271.39</v>
      </c>
      <c r="E32" s="20">
        <v>2788.39</v>
      </c>
      <c r="F32" s="15"/>
    </row>
    <row r="33" spans="1:10" x14ac:dyDescent="0.4">
      <c r="A33" s="9"/>
      <c r="B33" s="363" t="s">
        <v>94</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743</v>
      </c>
      <c r="D44" s="374"/>
      <c r="E44" s="375"/>
      <c r="F44" s="13"/>
    </row>
    <row r="45" spans="1:10" x14ac:dyDescent="0.4">
      <c r="A45" s="9"/>
      <c r="B45" s="17" t="s">
        <v>32</v>
      </c>
      <c r="C45" s="373" t="s">
        <v>13</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39.75" x14ac:dyDescent="0.4">
      <c r="A50" s="29"/>
      <c r="B50" s="78" t="s">
        <v>307</v>
      </c>
      <c r="C50" s="78" t="s">
        <v>353</v>
      </c>
      <c r="D50" s="28"/>
      <c r="E50" s="27"/>
    </row>
    <row r="51" spans="1:12" x14ac:dyDescent="0.4">
      <c r="A51" s="29"/>
      <c r="B51" s="377"/>
      <c r="C51" s="378"/>
      <c r="D51" s="378"/>
      <c r="E51" s="379"/>
    </row>
    <row r="52" spans="1:12" x14ac:dyDescent="0.4">
      <c r="A52" s="31"/>
      <c r="B52" s="380" t="s">
        <v>354</v>
      </c>
      <c r="C52" s="381"/>
      <c r="D52" s="381"/>
      <c r="E52" s="382"/>
      <c r="F52" s="15"/>
      <c r="G52" s="15"/>
      <c r="H52" s="15"/>
    </row>
    <row r="53" spans="1:12" x14ac:dyDescent="0.4">
      <c r="A53" s="32"/>
      <c r="B53" s="62"/>
      <c r="C53" s="23"/>
      <c r="D53" s="23"/>
      <c r="E53" s="23"/>
      <c r="F53" s="15"/>
      <c r="G53" s="15"/>
      <c r="H53" s="15"/>
      <c r="I53" s="15"/>
    </row>
    <row r="54" spans="1:12" x14ac:dyDescent="0.4">
      <c r="A54" s="24">
        <v>10</v>
      </c>
      <c r="B54" s="376" t="s">
        <v>36</v>
      </c>
      <c r="C54" s="365"/>
      <c r="D54" s="365"/>
      <c r="E54" s="365"/>
      <c r="F54" s="15"/>
      <c r="G54" s="15"/>
      <c r="H54" s="15"/>
    </row>
    <row r="55" spans="1:12" x14ac:dyDescent="0.4">
      <c r="A55" s="29"/>
      <c r="B55" s="383" t="s">
        <v>43</v>
      </c>
      <c r="C55" s="385" t="s">
        <v>355</v>
      </c>
      <c r="D55" s="386"/>
      <c r="E55" s="387"/>
      <c r="K55" s="1"/>
    </row>
    <row r="56" spans="1:12" x14ac:dyDescent="0.4">
      <c r="A56" s="29"/>
      <c r="B56" s="384"/>
      <c r="C56" s="388"/>
      <c r="D56" s="389"/>
      <c r="E56" s="390"/>
      <c r="K56" s="1"/>
    </row>
    <row r="57" spans="1:12" x14ac:dyDescent="0.4">
      <c r="A57" s="24"/>
      <c r="B57" s="33" t="s">
        <v>44</v>
      </c>
      <c r="C57" s="391" t="s">
        <v>186</v>
      </c>
      <c r="D57" s="391"/>
      <c r="E57" s="391"/>
    </row>
    <row r="58" spans="1:12" x14ac:dyDescent="0.4">
      <c r="A58" s="29"/>
      <c r="B58" s="33" t="s">
        <v>45</v>
      </c>
      <c r="C58" s="391" t="s">
        <v>46</v>
      </c>
      <c r="D58" s="391"/>
      <c r="E58" s="391"/>
      <c r="K58" s="34"/>
    </row>
    <row r="59" spans="1:12" x14ac:dyDescent="0.4">
      <c r="A59" s="29"/>
      <c r="B59" s="380" t="s">
        <v>354</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356</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357</v>
      </c>
      <c r="D69" s="366" t="s">
        <v>271</v>
      </c>
      <c r="E69" s="403" t="s">
        <v>323</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180</v>
      </c>
      <c r="D71" s="46">
        <v>237</v>
      </c>
      <c r="E71" s="46">
        <v>275</v>
      </c>
      <c r="F71" s="46">
        <v>224</v>
      </c>
      <c r="G71" s="46">
        <v>243.95</v>
      </c>
      <c r="H71" s="45">
        <v>180</v>
      </c>
      <c r="I71" s="45">
        <v>170</v>
      </c>
      <c r="J71" s="45">
        <v>338</v>
      </c>
      <c r="K71" s="45">
        <v>170</v>
      </c>
      <c r="L71" s="45">
        <v>131.9</v>
      </c>
      <c r="M71" s="45">
        <v>190</v>
      </c>
      <c r="N71" s="45">
        <v>107</v>
      </c>
    </row>
    <row r="72" spans="1:14" ht="25.65" x14ac:dyDescent="0.35">
      <c r="A72" s="2"/>
      <c r="B72" s="17" t="s">
        <v>104</v>
      </c>
      <c r="C72" s="45">
        <v>8899.75</v>
      </c>
      <c r="D72" s="45">
        <v>9237.85</v>
      </c>
      <c r="E72" s="45">
        <v>9621.25</v>
      </c>
      <c r="F72" s="46">
        <v>9173.75</v>
      </c>
      <c r="G72" s="46">
        <v>9173.75</v>
      </c>
      <c r="H72" s="46">
        <v>9313.7999999999993</v>
      </c>
      <c r="I72" s="46">
        <v>10113.700000000001</v>
      </c>
      <c r="J72" s="46">
        <v>11171.55</v>
      </c>
      <c r="K72" s="48">
        <v>9075.15</v>
      </c>
      <c r="L72" s="45">
        <v>11623.9</v>
      </c>
      <c r="M72" s="45">
        <v>11760.2</v>
      </c>
      <c r="N72" s="45">
        <v>10004.549999999999</v>
      </c>
    </row>
    <row r="73" spans="1:14" x14ac:dyDescent="0.4">
      <c r="A73" s="2"/>
      <c r="B73" s="401" t="s">
        <v>94</v>
      </c>
      <c r="C73" s="401"/>
      <c r="D73" s="401"/>
      <c r="E73" s="401"/>
      <c r="F73" s="401"/>
      <c r="G73" s="401"/>
      <c r="H73" s="401"/>
      <c r="I73" s="401"/>
      <c r="J73" s="401"/>
      <c r="K73" s="401"/>
      <c r="L73" s="401"/>
      <c r="M73" s="401"/>
      <c r="N73" s="401"/>
    </row>
    <row r="74" spans="1:14" x14ac:dyDescent="0.4">
      <c r="A74" s="2"/>
      <c r="B74" s="359" t="s">
        <v>63</v>
      </c>
      <c r="C74" s="359"/>
      <c r="D74" s="359"/>
      <c r="E74" s="359"/>
      <c r="F74" s="359"/>
      <c r="G74" s="359"/>
      <c r="H74" s="359"/>
      <c r="I74" s="359"/>
      <c r="J74" s="359"/>
      <c r="K74" s="359"/>
      <c r="L74" s="359"/>
      <c r="M74" s="359"/>
      <c r="N74" s="359"/>
    </row>
    <row r="75" spans="1:14" s="1" customFormat="1" x14ac:dyDescent="0.4">
      <c r="B75" s="359" t="s">
        <v>64</v>
      </c>
      <c r="C75" s="359"/>
      <c r="D75" s="359"/>
      <c r="E75" s="359"/>
      <c r="F75" s="359"/>
      <c r="G75" s="359"/>
      <c r="H75" s="359"/>
      <c r="I75" s="359"/>
      <c r="J75" s="359"/>
      <c r="K75" s="359"/>
      <c r="L75" s="359"/>
      <c r="M75" s="359"/>
      <c r="N75" s="359"/>
    </row>
    <row r="76" spans="1:14" x14ac:dyDescent="0.4">
      <c r="A76" s="2"/>
      <c r="B76" s="359" t="s">
        <v>358</v>
      </c>
      <c r="C76" s="359"/>
      <c r="D76" s="359"/>
      <c r="E76" s="359"/>
      <c r="F76" s="359"/>
      <c r="G76" s="359"/>
      <c r="H76" s="359"/>
      <c r="I76" s="359"/>
      <c r="J76" s="359"/>
      <c r="K76" s="359"/>
      <c r="L76" s="359"/>
      <c r="M76" s="359"/>
      <c r="N76" s="359"/>
    </row>
    <row r="77" spans="1:14" x14ac:dyDescent="0.4">
      <c r="A77" s="2"/>
      <c r="B77" s="359" t="s">
        <v>65</v>
      </c>
      <c r="C77" s="359"/>
      <c r="D77" s="359"/>
      <c r="E77" s="359"/>
      <c r="F77" s="359"/>
      <c r="G77" s="359"/>
      <c r="H77" s="359"/>
      <c r="I77" s="359"/>
      <c r="J77" s="359"/>
      <c r="K77" s="359"/>
      <c r="L77" s="359"/>
      <c r="M77" s="359"/>
      <c r="N77" s="359"/>
    </row>
    <row r="78" spans="1:14" x14ac:dyDescent="0.4">
      <c r="A78" s="2"/>
      <c r="B78" s="49"/>
      <c r="C78" s="49"/>
      <c r="D78" s="49"/>
      <c r="E78" s="49"/>
      <c r="F78" s="49"/>
      <c r="G78" s="13"/>
      <c r="H78" s="13"/>
      <c r="I78" s="13"/>
      <c r="J78" s="13"/>
      <c r="K78" s="13"/>
      <c r="L78" s="13"/>
      <c r="M78" s="13"/>
      <c r="N78" s="13"/>
    </row>
    <row r="79" spans="1:14" x14ac:dyDescent="0.4">
      <c r="A79" s="9">
        <v>13</v>
      </c>
      <c r="B79" s="405" t="s">
        <v>66</v>
      </c>
      <c r="C79" s="406"/>
      <c r="D79" s="406"/>
      <c r="E79" s="406"/>
      <c r="F79" s="406"/>
      <c r="G79" s="376"/>
      <c r="H79" s="11"/>
      <c r="I79" s="11"/>
      <c r="J79" s="11"/>
      <c r="K79" s="11"/>
      <c r="L79" s="11"/>
      <c r="M79" s="11"/>
      <c r="N79" s="11"/>
    </row>
    <row r="80" spans="1:14" x14ac:dyDescent="0.4">
      <c r="A80" s="9"/>
      <c r="C80" s="15"/>
      <c r="D80" s="15"/>
      <c r="E80" s="15"/>
      <c r="F80" s="15"/>
      <c r="G80" s="15"/>
      <c r="H80" s="15"/>
      <c r="I80" s="15"/>
      <c r="J80" s="15"/>
      <c r="K80" s="15"/>
      <c r="L80" s="15"/>
      <c r="M80" s="15"/>
      <c r="N80" s="15"/>
    </row>
    <row r="81" spans="1:14" ht="102.5" x14ac:dyDescent="0.4">
      <c r="A81" s="2"/>
      <c r="B81" s="50" t="s">
        <v>67</v>
      </c>
      <c r="C81" s="18" t="s">
        <v>68</v>
      </c>
      <c r="D81" s="18" t="s">
        <v>69</v>
      </c>
      <c r="E81" s="18" t="s">
        <v>218</v>
      </c>
      <c r="F81" s="18" t="s">
        <v>71</v>
      </c>
      <c r="G81" s="18" t="s">
        <v>107</v>
      </c>
      <c r="H81" s="13"/>
      <c r="I81" s="13"/>
      <c r="J81" s="13"/>
      <c r="K81" s="13"/>
      <c r="L81" s="13"/>
      <c r="M81" s="13"/>
      <c r="N81" s="13"/>
    </row>
    <row r="82" spans="1:14" ht="12.7" customHeight="1" x14ac:dyDescent="0.35">
      <c r="A82" s="2"/>
      <c r="B82" s="394" t="s">
        <v>72</v>
      </c>
      <c r="C82" s="3" t="s">
        <v>359</v>
      </c>
      <c r="D82" s="65">
        <v>28.24</v>
      </c>
      <c r="E82" s="66">
        <v>20.190000000000001</v>
      </c>
      <c r="F82" s="66">
        <v>28.04</v>
      </c>
      <c r="G82" s="21">
        <v>26.85</v>
      </c>
      <c r="H82" s="53"/>
      <c r="I82" s="53"/>
      <c r="J82" s="53"/>
      <c r="K82" s="53"/>
      <c r="L82" s="53"/>
      <c r="M82" s="53"/>
      <c r="N82" s="53"/>
    </row>
    <row r="83" spans="1:14" x14ac:dyDescent="0.4">
      <c r="A83" s="2"/>
      <c r="B83" s="394"/>
      <c r="C83" s="3" t="s">
        <v>73</v>
      </c>
      <c r="D83" s="76" t="s">
        <v>84</v>
      </c>
      <c r="E83" s="66"/>
      <c r="F83" s="66"/>
      <c r="G83" s="21"/>
      <c r="H83" s="53"/>
      <c r="I83" s="53"/>
      <c r="J83" s="53"/>
      <c r="K83" s="53"/>
      <c r="L83" s="53"/>
      <c r="M83" s="53"/>
      <c r="N83" s="53"/>
    </row>
    <row r="84" spans="1:14" x14ac:dyDescent="0.4">
      <c r="A84" s="2"/>
      <c r="B84" s="394"/>
      <c r="C84" s="21" t="s">
        <v>360</v>
      </c>
      <c r="D84" s="76">
        <v>6.9</v>
      </c>
      <c r="E84" s="66">
        <v>4.32</v>
      </c>
      <c r="F84" s="66">
        <v>-30.14</v>
      </c>
      <c r="G84" s="21">
        <v>1.02</v>
      </c>
      <c r="H84" s="53"/>
      <c r="I84" s="53"/>
      <c r="J84" s="53"/>
      <c r="K84" s="53"/>
      <c r="L84" s="53"/>
      <c r="M84" s="53"/>
      <c r="N84" s="53"/>
    </row>
    <row r="85" spans="1:14" x14ac:dyDescent="0.4">
      <c r="A85" s="2"/>
      <c r="B85" s="394"/>
      <c r="C85" s="21" t="s">
        <v>361</v>
      </c>
      <c r="D85" s="76">
        <v>14.2</v>
      </c>
      <c r="E85" s="66">
        <v>38.799999999999997</v>
      </c>
      <c r="F85" s="66">
        <v>42.96</v>
      </c>
      <c r="G85" s="21">
        <v>57.34</v>
      </c>
      <c r="H85" s="53"/>
      <c r="I85" s="53"/>
      <c r="J85" s="53"/>
      <c r="K85" s="53"/>
      <c r="L85" s="53"/>
      <c r="M85" s="53"/>
      <c r="N85" s="53"/>
    </row>
    <row r="86" spans="1:14" x14ac:dyDescent="0.4">
      <c r="A86" s="2"/>
      <c r="B86" s="394"/>
      <c r="C86" s="3" t="s">
        <v>74</v>
      </c>
      <c r="D86" s="127">
        <f>SUM(D84:D85)/2</f>
        <v>10.55</v>
      </c>
      <c r="E86" s="128">
        <f>SUM(E84:E85)/2</f>
        <v>21.56</v>
      </c>
      <c r="F86" s="128">
        <f>SUM(F84:F85)/2</f>
        <v>6.41</v>
      </c>
      <c r="G86" s="128">
        <f>SUM(G84:G85)/2</f>
        <v>29.180000000000003</v>
      </c>
      <c r="H86" s="53"/>
      <c r="I86" s="53"/>
      <c r="J86" s="53"/>
      <c r="K86" s="53"/>
      <c r="L86" s="53"/>
      <c r="M86" s="53"/>
      <c r="N86" s="53"/>
    </row>
    <row r="87" spans="1:14" x14ac:dyDescent="0.35">
      <c r="A87" s="2"/>
      <c r="B87" s="394" t="s">
        <v>75</v>
      </c>
      <c r="C87" s="3" t="s">
        <v>359</v>
      </c>
      <c r="D87" s="77">
        <v>9.52</v>
      </c>
      <c r="E87" s="66">
        <v>11.09</v>
      </c>
      <c r="F87" s="70">
        <f>I71/F82</f>
        <v>6.0627674750356633</v>
      </c>
      <c r="G87" s="120">
        <f>L71/G82</f>
        <v>4.9124767225325883</v>
      </c>
      <c r="H87" s="53"/>
      <c r="I87" s="53"/>
      <c r="J87" s="53"/>
      <c r="K87" s="53"/>
      <c r="L87" s="53"/>
      <c r="M87" s="53"/>
      <c r="N87" s="53"/>
    </row>
    <row r="88" spans="1:14" x14ac:dyDescent="0.4">
      <c r="A88" s="2"/>
      <c r="B88" s="394"/>
      <c r="C88" s="3" t="s">
        <v>73</v>
      </c>
      <c r="D88" s="76" t="s">
        <v>84</v>
      </c>
      <c r="E88" s="66"/>
      <c r="F88" s="66"/>
      <c r="G88" s="21"/>
      <c r="H88" s="53"/>
      <c r="I88" s="53"/>
      <c r="J88" s="53"/>
      <c r="K88" s="53"/>
      <c r="L88" s="53"/>
      <c r="M88" s="53"/>
      <c r="N88" s="53"/>
    </row>
    <row r="89" spans="1:14" x14ac:dyDescent="0.4">
      <c r="A89" s="2"/>
      <c r="B89" s="394"/>
      <c r="C89" s="21" t="s">
        <v>360</v>
      </c>
      <c r="D89" s="76">
        <v>19.600000000000001</v>
      </c>
      <c r="E89" s="66">
        <v>19.57</v>
      </c>
      <c r="F89" s="70">
        <f>70.3/F84</f>
        <v>-2.3324485733244855</v>
      </c>
      <c r="G89" s="120">
        <f>75.75/G84</f>
        <v>74.264705882352942</v>
      </c>
      <c r="H89" s="53"/>
      <c r="I89" s="53"/>
      <c r="J89" s="53"/>
      <c r="K89" s="53"/>
      <c r="L89" s="53"/>
      <c r="M89" s="53"/>
      <c r="N89" s="53"/>
    </row>
    <row r="90" spans="1:14" x14ac:dyDescent="0.4">
      <c r="A90" s="2"/>
      <c r="B90" s="394"/>
      <c r="C90" s="21" t="s">
        <v>361</v>
      </c>
      <c r="D90" s="76">
        <v>64.599999999999994</v>
      </c>
      <c r="E90" s="66">
        <v>25.27</v>
      </c>
      <c r="F90" s="70">
        <f>2217.15/F85</f>
        <v>51.609636871508378</v>
      </c>
      <c r="G90" s="120">
        <f>3002.05/G85</f>
        <v>52.355249389605859</v>
      </c>
      <c r="H90" s="53"/>
      <c r="I90" s="53"/>
      <c r="J90" s="53"/>
      <c r="K90" s="53"/>
      <c r="L90" s="53"/>
      <c r="M90" s="53"/>
      <c r="N90" s="53"/>
    </row>
    <row r="91" spans="1:14" x14ac:dyDescent="0.4">
      <c r="A91" s="2"/>
      <c r="B91" s="394"/>
      <c r="C91" s="3" t="s">
        <v>74</v>
      </c>
      <c r="D91" s="127">
        <f>SUM(D89:D90)/2</f>
        <v>42.099999999999994</v>
      </c>
      <c r="E91" s="128">
        <f>SUM(E89:E90)/2</f>
        <v>22.42</v>
      </c>
      <c r="F91" s="128">
        <f>SUM(F89:F90)/2</f>
        <v>24.638594149091947</v>
      </c>
      <c r="G91" s="128">
        <f>SUM(G89:G90)/2</f>
        <v>63.309977635979401</v>
      </c>
      <c r="H91" s="53"/>
      <c r="I91" s="53"/>
      <c r="J91" s="53"/>
      <c r="K91" s="53"/>
      <c r="L91" s="53"/>
      <c r="M91" s="53"/>
      <c r="N91" s="53"/>
    </row>
    <row r="92" spans="1:14" x14ac:dyDescent="0.35">
      <c r="A92" s="2"/>
      <c r="B92" s="394" t="s">
        <v>76</v>
      </c>
      <c r="C92" s="3" t="s">
        <v>359</v>
      </c>
      <c r="D92" s="65">
        <v>34.869999999999997</v>
      </c>
      <c r="E92" s="66">
        <v>69.97</v>
      </c>
      <c r="F92" s="71">
        <f>696.28/2519.69</f>
        <v>0.27633558096432498</v>
      </c>
      <c r="G92" s="120">
        <f>66666119/303668713*100</f>
        <v>21.953568525842833</v>
      </c>
      <c r="H92" s="53"/>
      <c r="I92" s="53"/>
      <c r="J92" s="53"/>
      <c r="K92" s="53"/>
      <c r="L92" s="53"/>
      <c r="M92" s="53"/>
      <c r="N92" s="53"/>
    </row>
    <row r="93" spans="1:14" x14ac:dyDescent="0.4">
      <c r="A93" s="2"/>
      <c r="B93" s="394"/>
      <c r="C93" s="3" t="s">
        <v>73</v>
      </c>
      <c r="D93" s="76" t="s">
        <v>84</v>
      </c>
      <c r="E93" s="66"/>
      <c r="F93" s="66"/>
      <c r="G93" s="21"/>
      <c r="H93" s="53"/>
      <c r="I93" s="53"/>
      <c r="J93" s="53"/>
      <c r="K93" s="53"/>
      <c r="L93" s="53"/>
      <c r="M93" s="53"/>
      <c r="N93" s="53"/>
    </row>
    <row r="94" spans="1:14" x14ac:dyDescent="0.4">
      <c r="A94" s="2"/>
      <c r="B94" s="394"/>
      <c r="C94" s="21" t="s">
        <v>360</v>
      </c>
      <c r="D94" s="76">
        <v>21.5</v>
      </c>
      <c r="E94" s="66">
        <v>10.37</v>
      </c>
      <c r="F94" s="94">
        <f>-12147.03/20901.38</f>
        <v>-0.58115923446203077</v>
      </c>
      <c r="G94" s="120">
        <f>730.45/22125.79*100</f>
        <v>3.3013510478043946</v>
      </c>
      <c r="H94" s="53"/>
      <c r="I94" s="53"/>
      <c r="J94" s="53"/>
      <c r="K94" s="53"/>
      <c r="L94" s="53"/>
      <c r="M94" s="53"/>
      <c r="N94" s="53"/>
    </row>
    <row r="95" spans="1:14" x14ac:dyDescent="0.4">
      <c r="A95" s="2"/>
      <c r="B95" s="394"/>
      <c r="C95" s="21" t="s">
        <v>361</v>
      </c>
      <c r="D95" s="76">
        <v>10.6</v>
      </c>
      <c r="E95" s="94">
        <f>5757.04/36634.8</f>
        <v>0.15714675663576708</v>
      </c>
      <c r="F95" s="94">
        <f>7345.59/44166.72</f>
        <v>0.16631504444975764</v>
      </c>
      <c r="G95" s="120">
        <f>9802.99/53911.58*100</f>
        <v>18.183458915505721</v>
      </c>
      <c r="H95" s="53"/>
      <c r="I95" s="53"/>
      <c r="J95" s="53"/>
      <c r="K95" s="53"/>
      <c r="L95" s="53"/>
      <c r="M95" s="53"/>
      <c r="N95" s="53"/>
    </row>
    <row r="96" spans="1:14" x14ac:dyDescent="0.4">
      <c r="A96" s="2"/>
      <c r="B96" s="394"/>
      <c r="C96" s="3" t="s">
        <v>74</v>
      </c>
      <c r="D96" s="127">
        <f>SUM(D94:D95)/2</f>
        <v>16.05</v>
      </c>
      <c r="E96" s="128">
        <f>SUM(E94:E95)/2</f>
        <v>5.2635733783178829</v>
      </c>
      <c r="F96" s="128">
        <f>SUM(F94:F95)/2</f>
        <v>-0.20742209500613656</v>
      </c>
      <c r="G96" s="128">
        <f>SUM(G94:G95)/2</f>
        <v>10.742404981655058</v>
      </c>
      <c r="H96" s="53"/>
      <c r="I96" s="53"/>
      <c r="J96" s="53"/>
      <c r="K96" s="57"/>
      <c r="L96" s="53"/>
      <c r="M96" s="53"/>
      <c r="N96" s="53"/>
    </row>
    <row r="97" spans="1:14" x14ac:dyDescent="0.35">
      <c r="A97" s="2"/>
      <c r="B97" s="394" t="s">
        <v>77</v>
      </c>
      <c r="C97" s="3" t="s">
        <v>359</v>
      </c>
      <c r="D97" s="65">
        <v>81.010000000000005</v>
      </c>
      <c r="E97" s="66">
        <v>28.86</v>
      </c>
      <c r="F97" s="70">
        <f>2519.69/24.83</f>
        <v>101.47764800644383</v>
      </c>
      <c r="G97" s="120">
        <f>303668713/2483000</f>
        <v>122.2991192106323</v>
      </c>
      <c r="H97" s="53"/>
      <c r="I97" s="53"/>
      <c r="J97" s="53"/>
      <c r="K97" s="53"/>
      <c r="L97" s="53"/>
      <c r="M97" s="53"/>
      <c r="N97" s="53"/>
    </row>
    <row r="98" spans="1:14" x14ac:dyDescent="0.4">
      <c r="A98" s="2"/>
      <c r="B98" s="394"/>
      <c r="C98" s="3" t="s">
        <v>73</v>
      </c>
      <c r="D98" s="76" t="s">
        <v>84</v>
      </c>
      <c r="E98" s="66"/>
      <c r="F98" s="66"/>
      <c r="G98" s="21"/>
      <c r="H98" s="53"/>
      <c r="I98" s="53"/>
      <c r="J98" s="53"/>
      <c r="K98" s="53"/>
      <c r="L98" s="53"/>
      <c r="M98" s="53"/>
      <c r="N98" s="53"/>
    </row>
    <row r="99" spans="1:14" x14ac:dyDescent="0.4">
      <c r="A99" s="2"/>
      <c r="B99" s="411"/>
      <c r="C99" s="21" t="s">
        <v>360</v>
      </c>
      <c r="D99" s="76">
        <v>36.6</v>
      </c>
      <c r="E99" s="66">
        <v>41.63</v>
      </c>
      <c r="F99" s="70">
        <f>-20901.38/717.85</f>
        <v>-29.116639966566833</v>
      </c>
      <c r="G99" s="120">
        <f>22125.79*100000/72228100</f>
        <v>30.633216158254196</v>
      </c>
      <c r="H99" s="53"/>
      <c r="I99" s="53"/>
      <c r="J99" s="53"/>
      <c r="K99" s="53"/>
      <c r="L99" s="53"/>
      <c r="M99" s="53"/>
      <c r="N99" s="53"/>
    </row>
    <row r="100" spans="1:14" x14ac:dyDescent="0.4">
      <c r="A100" s="2"/>
      <c r="B100" s="411"/>
      <c r="C100" s="21" t="s">
        <v>361</v>
      </c>
      <c r="D100" s="76">
        <v>181.4</v>
      </c>
      <c r="E100" s="70">
        <f>36634.8/170.98</f>
        <v>214.26365656801968</v>
      </c>
      <c r="F100" s="70">
        <f>44166.72/170.96</f>
        <v>258.34534394010296</v>
      </c>
      <c r="G100" s="120">
        <f>53911.58*100000/17096800</f>
        <v>315.33140704693278</v>
      </c>
      <c r="H100" s="53"/>
      <c r="I100" s="53"/>
      <c r="J100" s="53"/>
      <c r="K100" s="53"/>
      <c r="L100" s="53"/>
      <c r="M100" s="53"/>
      <c r="N100" s="53"/>
    </row>
    <row r="101" spans="1:14" x14ac:dyDescent="0.4">
      <c r="A101" s="2"/>
      <c r="B101" s="411"/>
      <c r="C101" s="3" t="s">
        <v>74</v>
      </c>
      <c r="D101" s="127">
        <f>SUM(D99:D100)/2</f>
        <v>109</v>
      </c>
      <c r="E101" s="128">
        <f>SUM(E99:E100)/2</f>
        <v>127.94682828400984</v>
      </c>
      <c r="F101" s="128">
        <f>SUM(F99:F100)/2</f>
        <v>114.61435198676807</v>
      </c>
      <c r="G101" s="128">
        <f>SUM(G99:G100)/2</f>
        <v>172.98231160259348</v>
      </c>
      <c r="H101" s="53"/>
      <c r="I101" s="53"/>
      <c r="J101" s="53"/>
      <c r="K101" s="53"/>
      <c r="L101" s="53"/>
      <c r="M101" s="53"/>
      <c r="N101" s="53"/>
    </row>
    <row r="102" spans="1:14" s="1" customFormat="1" x14ac:dyDescent="0.4">
      <c r="B102" s="412"/>
      <c r="C102" s="413"/>
      <c r="D102" s="413"/>
      <c r="E102" s="413"/>
      <c r="F102" s="413"/>
      <c r="G102" s="414"/>
    </row>
    <row r="103" spans="1:14" x14ac:dyDescent="0.4">
      <c r="A103" s="2"/>
      <c r="B103" s="415" t="s">
        <v>362</v>
      </c>
      <c r="C103" s="416"/>
      <c r="D103" s="416"/>
      <c r="E103" s="416"/>
      <c r="F103" s="416"/>
      <c r="G103" s="417"/>
      <c r="H103" s="53"/>
      <c r="I103" s="53"/>
      <c r="J103" s="53"/>
      <c r="K103" s="53"/>
      <c r="L103" s="53"/>
      <c r="M103" s="53"/>
      <c r="N103" s="53"/>
    </row>
    <row r="104" spans="1:14" x14ac:dyDescent="0.4">
      <c r="A104" s="2"/>
      <c r="B104" s="415" t="s">
        <v>85</v>
      </c>
      <c r="C104" s="416"/>
      <c r="D104" s="416"/>
      <c r="E104" s="416"/>
      <c r="F104" s="416"/>
      <c r="G104" s="417"/>
      <c r="H104" s="53"/>
      <c r="I104" s="53"/>
      <c r="J104" s="53"/>
      <c r="K104" s="53"/>
      <c r="L104" s="53"/>
      <c r="M104" s="53"/>
      <c r="N104" s="53"/>
    </row>
    <row r="105" spans="1:14" x14ac:dyDescent="0.4">
      <c r="A105" s="2"/>
      <c r="B105" s="363"/>
      <c r="C105" s="368"/>
      <c r="D105" s="368"/>
      <c r="E105" s="368"/>
      <c r="F105" s="368"/>
      <c r="G105" s="369"/>
      <c r="H105" s="53"/>
      <c r="I105" s="53"/>
      <c r="J105" s="53"/>
      <c r="K105" s="53"/>
      <c r="L105" s="53"/>
      <c r="M105" s="53"/>
      <c r="N105" s="53"/>
    </row>
    <row r="106" spans="1:14" x14ac:dyDescent="0.4">
      <c r="C106" s="407"/>
      <c r="D106" s="407"/>
      <c r="E106" s="407"/>
      <c r="F106" s="407"/>
      <c r="G106" s="407"/>
      <c r="H106" s="53"/>
      <c r="I106" s="53"/>
    </row>
    <row r="107" spans="1:14" x14ac:dyDescent="0.4">
      <c r="A107" s="9">
        <v>14</v>
      </c>
      <c r="B107" s="61" t="s">
        <v>78</v>
      </c>
      <c r="C107" s="356" t="s">
        <v>41</v>
      </c>
      <c r="D107" s="357"/>
      <c r="E107" s="357"/>
      <c r="F107" s="357"/>
      <c r="G107" s="408"/>
    </row>
    <row r="108" spans="1:14" x14ac:dyDescent="0.4">
      <c r="A108" s="23"/>
      <c r="C108" s="69"/>
      <c r="D108" s="69"/>
      <c r="E108" s="69"/>
      <c r="F108" s="69"/>
      <c r="G108" s="69"/>
    </row>
    <row r="109" spans="1:14" x14ac:dyDescent="0.4">
      <c r="B109" s="409" t="s">
        <v>363</v>
      </c>
      <c r="C109" s="410"/>
      <c r="D109" s="410"/>
      <c r="E109" s="410"/>
      <c r="F109" s="410"/>
      <c r="G109" s="410"/>
      <c r="H109" s="410"/>
    </row>
  </sheetData>
  <sheetProtection password="E9DF" sheet="1" objects="1" scenarios="1"/>
  <mergeCells count="59">
    <mergeCell ref="B109:H109"/>
    <mergeCell ref="B102:G102"/>
    <mergeCell ref="B103:G103"/>
    <mergeCell ref="B104:G104"/>
    <mergeCell ref="B105:G105"/>
    <mergeCell ref="C106:G106"/>
    <mergeCell ref="C107:G107"/>
    <mergeCell ref="B76:N76"/>
    <mergeCell ref="B77:N77"/>
    <mergeCell ref="B79:G79"/>
    <mergeCell ref="B82:B86"/>
    <mergeCell ref="B87:B91"/>
    <mergeCell ref="B92:B96"/>
    <mergeCell ref="B97:B101"/>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55:B56"/>
    <mergeCell ref="C55:E56"/>
    <mergeCell ref="B35:E35"/>
    <mergeCell ref="B39:C39"/>
    <mergeCell ref="B42:E42"/>
    <mergeCell ref="C43:E43"/>
    <mergeCell ref="C44:E44"/>
    <mergeCell ref="C45:E45"/>
    <mergeCell ref="B46:E46"/>
    <mergeCell ref="B48:E48"/>
    <mergeCell ref="B51:E51"/>
    <mergeCell ref="B52:E52"/>
    <mergeCell ref="B54:E54"/>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05"/>
  <sheetViews>
    <sheetView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8" width="10" style="8" bestFit="1" customWidth="1"/>
    <col min="9" max="16384" width="8.84375" style="8"/>
  </cols>
  <sheetData>
    <row r="1" spans="1:5" ht="14.35" customHeight="1" x14ac:dyDescent="0.4">
      <c r="A1" s="355" t="s">
        <v>0</v>
      </c>
      <c r="B1" s="355"/>
      <c r="D1" s="1"/>
    </row>
    <row r="3" spans="1:5" ht="19.25" customHeight="1" x14ac:dyDescent="0.4">
      <c r="A3" s="2" t="s">
        <v>1</v>
      </c>
      <c r="B3" s="3" t="s">
        <v>2</v>
      </c>
      <c r="C3" s="4" t="s">
        <v>364</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365</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366</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367</v>
      </c>
      <c r="C19" s="354" t="s">
        <v>41</v>
      </c>
      <c r="D19" s="354"/>
      <c r="E19" s="354"/>
      <c r="F19" s="15"/>
      <c r="G19" s="13"/>
      <c r="I19" s="13"/>
      <c r="J19" s="13"/>
      <c r="K19" s="13"/>
      <c r="L19" s="13"/>
      <c r="M19" s="13"/>
      <c r="N19" s="13"/>
    </row>
    <row r="20" spans="1:14" x14ac:dyDescent="0.4">
      <c r="A20" s="9"/>
      <c r="B20" s="14" t="s">
        <v>14</v>
      </c>
      <c r="C20" s="354" t="s">
        <v>79</v>
      </c>
      <c r="D20" s="354"/>
      <c r="E20" s="354"/>
      <c r="F20" s="15"/>
      <c r="G20" s="13"/>
      <c r="H20" s="13"/>
      <c r="I20" s="13"/>
      <c r="J20" s="13"/>
      <c r="K20" s="13"/>
      <c r="L20" s="13"/>
      <c r="M20" s="13"/>
      <c r="N20" s="13"/>
    </row>
    <row r="21" spans="1:14" x14ac:dyDescent="0.4">
      <c r="A21" s="9"/>
      <c r="B21" s="14" t="s">
        <v>15</v>
      </c>
      <c r="C21" s="354" t="s">
        <v>79</v>
      </c>
      <c r="D21" s="354"/>
      <c r="E21" s="354"/>
      <c r="F21" s="15"/>
      <c r="G21" s="13"/>
      <c r="H21" s="13"/>
      <c r="I21" s="13"/>
      <c r="J21" s="13"/>
      <c r="K21" s="13"/>
      <c r="L21" s="13"/>
      <c r="M21" s="13"/>
      <c r="N21" s="13"/>
    </row>
    <row r="22" spans="1:14" x14ac:dyDescent="0.4">
      <c r="A22" s="9"/>
      <c r="B22" s="16" t="s">
        <v>16</v>
      </c>
      <c r="C22" s="447" t="s">
        <v>79</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25.5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ht="12.7" customHeight="1" x14ac:dyDescent="0.4">
      <c r="A29" s="9"/>
      <c r="B29" s="19" t="s">
        <v>24</v>
      </c>
      <c r="C29" s="20">
        <v>13970.2</v>
      </c>
      <c r="D29" s="20">
        <v>17721.13</v>
      </c>
      <c r="E29" s="20">
        <v>15134.42</v>
      </c>
      <c r="F29" s="15"/>
    </row>
    <row r="30" spans="1:14" x14ac:dyDescent="0.4">
      <c r="A30" s="9"/>
      <c r="B30" s="19" t="s">
        <v>25</v>
      </c>
      <c r="C30" s="20">
        <v>258.33</v>
      </c>
      <c r="D30" s="20">
        <v>366.13</v>
      </c>
      <c r="E30" s="20">
        <v>-86.82</v>
      </c>
      <c r="F30" s="15"/>
    </row>
    <row r="31" spans="1:14" x14ac:dyDescent="0.4">
      <c r="A31" s="9"/>
      <c r="B31" s="19" t="s">
        <v>26</v>
      </c>
      <c r="C31" s="20">
        <v>1714.76</v>
      </c>
      <c r="D31" s="20">
        <v>1714.76</v>
      </c>
      <c r="E31" s="20">
        <v>1714.77</v>
      </c>
      <c r="F31" s="15"/>
    </row>
    <row r="32" spans="1:14" x14ac:dyDescent="0.4">
      <c r="A32" s="9"/>
      <c r="B32" s="19" t="s">
        <v>27</v>
      </c>
      <c r="C32" s="20">
        <v>2708.55</v>
      </c>
      <c r="D32" s="20">
        <v>2971.5</v>
      </c>
      <c r="E32" s="20">
        <v>2987.87</v>
      </c>
      <c r="F32" s="15"/>
    </row>
    <row r="33" spans="1:10" ht="12.7" customHeight="1" x14ac:dyDescent="0.4">
      <c r="A33" s="9"/>
      <c r="B33" s="363" t="s">
        <v>294</v>
      </c>
      <c r="C33" s="368"/>
      <c r="D33" s="368"/>
      <c r="E33" s="369"/>
      <c r="F33" s="15"/>
    </row>
    <row r="34" spans="1:10" x14ac:dyDescent="0.4">
      <c r="A34" s="9"/>
      <c r="B34" s="13"/>
      <c r="C34" s="15"/>
      <c r="D34" s="15"/>
      <c r="E34" s="15"/>
      <c r="F34" s="15"/>
    </row>
    <row r="35" spans="1:10" ht="27.05"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808</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373" t="s">
        <v>812</v>
      </c>
      <c r="D45" s="374"/>
      <c r="E45" s="375"/>
      <c r="F45" s="13"/>
    </row>
    <row r="46" spans="1:10" ht="12.7" customHeight="1" x14ac:dyDescent="0.4">
      <c r="A46" s="9"/>
      <c r="B46" s="363" t="s">
        <v>35</v>
      </c>
      <c r="C46" s="368"/>
      <c r="D46" s="368"/>
      <c r="E46" s="369"/>
      <c r="F46" s="13"/>
    </row>
    <row r="47" spans="1:10" x14ac:dyDescent="0.4">
      <c r="A47" s="2"/>
      <c r="D47" s="23"/>
      <c r="E47" s="13"/>
    </row>
    <row r="48" spans="1:10" ht="12.7" customHeight="1"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12.7" customHeight="1" x14ac:dyDescent="0.4">
      <c r="A50" s="29"/>
      <c r="B50" s="448" t="s">
        <v>97</v>
      </c>
      <c r="C50" s="449"/>
      <c r="D50" s="449"/>
      <c r="E50" s="450"/>
    </row>
    <row r="51" spans="1:14" x14ac:dyDescent="0.4">
      <c r="A51" s="32"/>
      <c r="B51" s="62"/>
      <c r="C51" s="23"/>
      <c r="D51" s="23"/>
      <c r="E51" s="23"/>
      <c r="F51" s="15"/>
      <c r="G51" s="15"/>
      <c r="H51" s="15"/>
      <c r="I51" s="15"/>
    </row>
    <row r="52" spans="1:14" ht="12.7" customHeight="1" x14ac:dyDescent="0.4">
      <c r="A52" s="24">
        <v>10</v>
      </c>
      <c r="B52" s="376" t="s">
        <v>36</v>
      </c>
      <c r="C52" s="365"/>
      <c r="D52" s="365"/>
      <c r="E52" s="365"/>
      <c r="F52" s="15"/>
      <c r="G52" s="15"/>
      <c r="H52" s="15"/>
    </row>
    <row r="53" spans="1:14" ht="12.7" customHeight="1" x14ac:dyDescent="0.4">
      <c r="A53" s="29"/>
      <c r="B53" s="383" t="s">
        <v>43</v>
      </c>
      <c r="C53" s="385" t="s">
        <v>97</v>
      </c>
      <c r="D53" s="386"/>
      <c r="E53" s="387"/>
      <c r="K53" s="1"/>
    </row>
    <row r="54" spans="1:14" x14ac:dyDescent="0.4">
      <c r="A54" s="29"/>
      <c r="B54" s="384"/>
      <c r="C54" s="388"/>
      <c r="D54" s="389"/>
      <c r="E54" s="390"/>
      <c r="K54" s="1"/>
    </row>
    <row r="55" spans="1:14" x14ac:dyDescent="0.4">
      <c r="A55" s="24"/>
      <c r="B55" s="33" t="s">
        <v>44</v>
      </c>
      <c r="C55" s="391" t="s">
        <v>46</v>
      </c>
      <c r="D55" s="391"/>
      <c r="E55" s="391"/>
    </row>
    <row r="56" spans="1:14" x14ac:dyDescent="0.4">
      <c r="A56" s="29"/>
      <c r="B56" s="33" t="s">
        <v>45</v>
      </c>
      <c r="C56" s="391" t="s">
        <v>46</v>
      </c>
      <c r="D56" s="391"/>
      <c r="E56" s="391"/>
      <c r="K56" s="34"/>
    </row>
    <row r="57" spans="1:14" s="63" customFormat="1" x14ac:dyDescent="0.35">
      <c r="A57" s="35" t="s">
        <v>47</v>
      </c>
      <c r="B57" s="392" t="s">
        <v>48</v>
      </c>
      <c r="C57" s="392"/>
      <c r="D57" s="392"/>
      <c r="E57" s="392"/>
    </row>
    <row r="58" spans="1:14" x14ac:dyDescent="0.4">
      <c r="A58" s="40"/>
      <c r="B58" s="41"/>
      <c r="C58" s="42"/>
      <c r="D58" s="42"/>
      <c r="E58" s="42"/>
      <c r="F58" s="42"/>
    </row>
    <row r="59" spans="1:14" ht="12.7" customHeight="1" x14ac:dyDescent="0.4">
      <c r="A59" s="9">
        <v>11</v>
      </c>
      <c r="B59" s="3" t="s">
        <v>49</v>
      </c>
      <c r="C59" s="393" t="s">
        <v>50</v>
      </c>
      <c r="D59" s="393"/>
      <c r="E59" s="393"/>
      <c r="F59" s="11"/>
      <c r="G59" s="11"/>
      <c r="H59" s="43"/>
      <c r="I59" s="11"/>
      <c r="J59" s="11"/>
    </row>
    <row r="60" spans="1:14" x14ac:dyDescent="0.4">
      <c r="A60" s="9"/>
      <c r="B60" s="15"/>
      <c r="C60" s="15"/>
      <c r="D60" s="15"/>
      <c r="E60" s="15"/>
      <c r="F60" s="15"/>
      <c r="G60" s="15"/>
      <c r="H60" s="44"/>
      <c r="I60" s="44"/>
      <c r="J60" s="15"/>
    </row>
    <row r="61" spans="1:14" x14ac:dyDescent="0.4">
      <c r="A61" s="9">
        <v>12</v>
      </c>
      <c r="B61" s="11" t="s">
        <v>51</v>
      </c>
      <c r="C61" s="11"/>
      <c r="D61" s="11"/>
      <c r="E61" s="11"/>
      <c r="F61" s="11"/>
      <c r="G61" s="11"/>
      <c r="H61" s="11"/>
      <c r="I61" s="11"/>
      <c r="J61" s="11"/>
      <c r="K61" s="11"/>
      <c r="L61" s="11"/>
      <c r="M61" s="11"/>
      <c r="N61" s="11"/>
    </row>
    <row r="62" spans="1:14" x14ac:dyDescent="0.4">
      <c r="A62" s="9"/>
      <c r="B62" s="11"/>
      <c r="C62" s="11"/>
      <c r="D62" s="11"/>
      <c r="E62" s="11"/>
      <c r="F62" s="11"/>
      <c r="G62" s="11"/>
      <c r="H62" s="11"/>
      <c r="I62" s="11"/>
      <c r="J62" s="11"/>
      <c r="K62" s="11"/>
      <c r="L62" s="11"/>
      <c r="M62" s="11"/>
      <c r="N62" s="11"/>
    </row>
    <row r="63" spans="1:14" x14ac:dyDescent="0.4">
      <c r="A63" s="9"/>
      <c r="B63" s="17" t="s">
        <v>52</v>
      </c>
      <c r="C63" s="19" t="s">
        <v>368</v>
      </c>
      <c r="D63" s="15"/>
      <c r="E63" s="44"/>
      <c r="F63" s="44"/>
      <c r="G63" s="44"/>
      <c r="H63" s="15"/>
      <c r="I63" s="15"/>
      <c r="J63" s="15"/>
      <c r="K63" s="15"/>
      <c r="L63" s="15"/>
      <c r="M63" s="15"/>
      <c r="N63" s="15"/>
    </row>
    <row r="64" spans="1:14" x14ac:dyDescent="0.4">
      <c r="A64" s="9"/>
      <c r="B64" s="15"/>
      <c r="C64" s="15"/>
      <c r="D64" s="15"/>
      <c r="E64" s="15"/>
      <c r="F64" s="15"/>
      <c r="G64" s="15"/>
      <c r="H64" s="15"/>
      <c r="I64" s="15"/>
      <c r="J64" s="15"/>
      <c r="K64" s="15"/>
      <c r="L64" s="15"/>
      <c r="M64" s="15"/>
      <c r="N64" s="15"/>
    </row>
    <row r="65" spans="1:14" ht="12.7" customHeight="1" x14ac:dyDescent="0.4">
      <c r="A65" s="9"/>
      <c r="B65" s="365" t="s">
        <v>53</v>
      </c>
      <c r="C65" s="366" t="s">
        <v>369</v>
      </c>
      <c r="D65" s="366" t="s">
        <v>271</v>
      </c>
      <c r="E65" s="403" t="s">
        <v>323</v>
      </c>
      <c r="F65" s="395" t="s">
        <v>54</v>
      </c>
      <c r="G65" s="396"/>
      <c r="H65" s="397"/>
      <c r="I65" s="398" t="s">
        <v>55</v>
      </c>
      <c r="J65" s="398"/>
      <c r="K65" s="398"/>
      <c r="L65" s="398" t="s">
        <v>56</v>
      </c>
      <c r="M65" s="398"/>
      <c r="N65" s="398"/>
    </row>
    <row r="66" spans="1:14" ht="38.450000000000003" x14ac:dyDescent="0.4">
      <c r="A66" s="2"/>
      <c r="B66" s="365"/>
      <c r="C66" s="402"/>
      <c r="D66" s="402"/>
      <c r="E66" s="404"/>
      <c r="F66" s="17" t="s">
        <v>57</v>
      </c>
      <c r="G66" s="17" t="s">
        <v>58</v>
      </c>
      <c r="H66" s="17" t="s">
        <v>59</v>
      </c>
      <c r="I66" s="17" t="s">
        <v>60</v>
      </c>
      <c r="J66" s="17" t="s">
        <v>58</v>
      </c>
      <c r="K66" s="17" t="s">
        <v>59</v>
      </c>
      <c r="L66" s="17" t="s">
        <v>60</v>
      </c>
      <c r="M66" s="17" t="s">
        <v>58</v>
      </c>
      <c r="N66" s="17" t="s">
        <v>59</v>
      </c>
    </row>
    <row r="67" spans="1:14" x14ac:dyDescent="0.4">
      <c r="A67" s="2"/>
      <c r="B67" s="17" t="s">
        <v>103</v>
      </c>
      <c r="C67" s="45">
        <v>19.899999999999999</v>
      </c>
      <c r="D67" s="46">
        <v>17.649999999999999</v>
      </c>
      <c r="E67" s="46">
        <v>14.5</v>
      </c>
      <c r="F67" s="46">
        <v>14.5</v>
      </c>
      <c r="G67" s="46">
        <v>21.15</v>
      </c>
      <c r="H67" s="45">
        <v>12.25</v>
      </c>
      <c r="I67" s="45">
        <v>12.7</v>
      </c>
      <c r="J67" s="45">
        <v>15.45</v>
      </c>
      <c r="K67" s="45">
        <v>10</v>
      </c>
      <c r="L67" s="45">
        <v>7.05</v>
      </c>
      <c r="M67" s="45">
        <v>14.8</v>
      </c>
      <c r="N67" s="45">
        <v>5.8</v>
      </c>
    </row>
    <row r="68" spans="1:14" ht="25.65" x14ac:dyDescent="0.35">
      <c r="A68" s="2"/>
      <c r="B68" s="17" t="s">
        <v>104</v>
      </c>
      <c r="C68" s="45">
        <v>9173.75</v>
      </c>
      <c r="D68" s="45">
        <v>9313.7999999999993</v>
      </c>
      <c r="E68" s="45">
        <v>10589.1</v>
      </c>
      <c r="F68" s="46">
        <v>10113.700000000001</v>
      </c>
      <c r="G68" s="46">
        <v>11171.55</v>
      </c>
      <c r="H68" s="48">
        <v>9075.15</v>
      </c>
      <c r="I68" s="45">
        <v>11623.9</v>
      </c>
      <c r="J68" s="45">
        <v>11760.2</v>
      </c>
      <c r="K68" s="45">
        <v>10004.549999999999</v>
      </c>
      <c r="L68" s="45">
        <v>8597.75</v>
      </c>
      <c r="M68" s="45">
        <v>12430.5</v>
      </c>
      <c r="N68" s="45">
        <v>7511.1</v>
      </c>
    </row>
    <row r="69" spans="1:14" x14ac:dyDescent="0.4">
      <c r="A69" s="2"/>
      <c r="B69" s="401" t="s">
        <v>94</v>
      </c>
      <c r="C69" s="401"/>
      <c r="D69" s="401"/>
      <c r="E69" s="401"/>
      <c r="F69" s="401"/>
      <c r="G69" s="401"/>
      <c r="H69" s="401"/>
      <c r="I69" s="401"/>
      <c r="J69" s="401"/>
      <c r="K69" s="401"/>
      <c r="L69" s="401"/>
      <c r="M69" s="401"/>
      <c r="N69" s="401"/>
    </row>
    <row r="70" spans="1:14" ht="12.7" customHeight="1" x14ac:dyDescent="0.4">
      <c r="A70" s="2"/>
      <c r="B70" s="359" t="s">
        <v>63</v>
      </c>
      <c r="C70" s="359"/>
      <c r="D70" s="359"/>
      <c r="E70" s="359"/>
      <c r="F70" s="359"/>
      <c r="G70" s="359"/>
      <c r="H70" s="359"/>
      <c r="I70" s="359"/>
      <c r="J70" s="359"/>
      <c r="K70" s="359"/>
      <c r="L70" s="359"/>
      <c r="M70" s="359"/>
      <c r="N70" s="359"/>
    </row>
    <row r="71" spans="1:14" s="1" customFormat="1" ht="12.7" customHeight="1" x14ac:dyDescent="0.4">
      <c r="B71" s="359" t="s">
        <v>64</v>
      </c>
      <c r="C71" s="359"/>
      <c r="D71" s="359"/>
      <c r="E71" s="359"/>
      <c r="F71" s="359"/>
      <c r="G71" s="359"/>
      <c r="H71" s="359"/>
      <c r="I71" s="359"/>
      <c r="J71" s="359"/>
      <c r="K71" s="359"/>
      <c r="L71" s="359"/>
      <c r="M71" s="359"/>
      <c r="N71" s="359"/>
    </row>
    <row r="72" spans="1:14" ht="12.7" customHeight="1" x14ac:dyDescent="0.4">
      <c r="A72" s="2"/>
      <c r="B72" s="359" t="s">
        <v>358</v>
      </c>
      <c r="C72" s="359"/>
      <c r="D72" s="359"/>
      <c r="E72" s="359"/>
      <c r="F72" s="359"/>
      <c r="G72" s="359"/>
      <c r="H72" s="359"/>
      <c r="I72" s="359"/>
      <c r="J72" s="359"/>
      <c r="K72" s="359"/>
      <c r="L72" s="359"/>
      <c r="M72" s="359"/>
      <c r="N72" s="359"/>
    </row>
    <row r="73" spans="1:14" ht="12.7" customHeight="1" x14ac:dyDescent="0.4">
      <c r="A73" s="2"/>
      <c r="B73" s="359" t="s">
        <v>65</v>
      </c>
      <c r="C73" s="359"/>
      <c r="D73" s="359"/>
      <c r="E73" s="359"/>
      <c r="F73" s="359"/>
      <c r="G73" s="359"/>
      <c r="H73" s="359"/>
      <c r="I73" s="359"/>
      <c r="J73" s="359"/>
      <c r="K73" s="359"/>
      <c r="L73" s="359"/>
      <c r="M73" s="359"/>
      <c r="N73" s="359"/>
    </row>
    <row r="74" spans="1:14" x14ac:dyDescent="0.4">
      <c r="A74" s="2"/>
      <c r="B74" s="49"/>
      <c r="C74" s="49"/>
      <c r="D74" s="49"/>
      <c r="E74" s="49"/>
      <c r="F74" s="49"/>
      <c r="G74" s="13"/>
      <c r="H74" s="13"/>
      <c r="I74" s="13"/>
      <c r="J74" s="13"/>
      <c r="K74" s="13"/>
      <c r="L74" s="13"/>
      <c r="M74" s="13"/>
      <c r="N74" s="13"/>
    </row>
    <row r="75" spans="1:14" ht="12.7" customHeight="1" x14ac:dyDescent="0.4">
      <c r="A75" s="9">
        <v>13</v>
      </c>
      <c r="B75" s="405" t="s">
        <v>66</v>
      </c>
      <c r="C75" s="406"/>
      <c r="D75" s="406"/>
      <c r="E75" s="406"/>
      <c r="F75" s="406"/>
      <c r="G75" s="376"/>
      <c r="H75" s="11"/>
      <c r="I75" s="11"/>
      <c r="J75" s="11"/>
      <c r="K75" s="11"/>
      <c r="L75" s="11"/>
      <c r="M75" s="11"/>
      <c r="N75" s="11"/>
    </row>
    <row r="76" spans="1:14" x14ac:dyDescent="0.4">
      <c r="A76" s="9"/>
      <c r="C76" s="15"/>
      <c r="D76" s="15"/>
      <c r="E76" s="15"/>
      <c r="F76" s="15"/>
      <c r="G76" s="15"/>
      <c r="H76" s="15"/>
      <c r="I76" s="15"/>
      <c r="J76" s="15"/>
      <c r="K76" s="15"/>
      <c r="L76" s="15"/>
      <c r="M76" s="15"/>
      <c r="N76" s="15"/>
    </row>
    <row r="77" spans="1:14" ht="102.5" x14ac:dyDescent="0.4">
      <c r="A77" s="2"/>
      <c r="B77" s="50" t="s">
        <v>67</v>
      </c>
      <c r="C77" s="18" t="s">
        <v>68</v>
      </c>
      <c r="D77" s="18" t="s">
        <v>69</v>
      </c>
      <c r="E77" s="18" t="s">
        <v>218</v>
      </c>
      <c r="F77" s="18" t="s">
        <v>71</v>
      </c>
      <c r="G77" s="18" t="s">
        <v>107</v>
      </c>
      <c r="H77" s="13"/>
      <c r="I77" s="13"/>
      <c r="J77" s="13"/>
      <c r="K77" s="13"/>
      <c r="L77" s="13"/>
      <c r="M77" s="13"/>
      <c r="N77" s="13"/>
    </row>
    <row r="78" spans="1:14" ht="12.7" customHeight="1" x14ac:dyDescent="0.35">
      <c r="A78" s="2"/>
      <c r="B78" s="394" t="s">
        <v>72</v>
      </c>
      <c r="C78" s="3" t="s">
        <v>370</v>
      </c>
      <c r="D78" s="65">
        <v>1.1299999999999999</v>
      </c>
      <c r="E78" s="65">
        <v>1.51</v>
      </c>
      <c r="F78" s="78">
        <v>2.14</v>
      </c>
      <c r="G78" s="78">
        <v>-0.51</v>
      </c>
      <c r="I78" s="53"/>
      <c r="J78" s="53"/>
      <c r="K78" s="53"/>
      <c r="L78" s="53"/>
      <c r="M78" s="53"/>
      <c r="N78" s="53"/>
    </row>
    <row r="79" spans="1:14" x14ac:dyDescent="0.4">
      <c r="A79" s="2"/>
      <c r="B79" s="394"/>
      <c r="C79" s="3" t="s">
        <v>73</v>
      </c>
      <c r="D79" s="76" t="s">
        <v>84</v>
      </c>
      <c r="E79" s="76"/>
      <c r="F79" s="78"/>
      <c r="G79" s="78"/>
      <c r="I79" s="53"/>
      <c r="J79" s="53"/>
      <c r="K79" s="53"/>
      <c r="L79" s="53"/>
      <c r="M79" s="53"/>
      <c r="N79" s="53"/>
    </row>
    <row r="80" spans="1:14" x14ac:dyDescent="0.4">
      <c r="A80" s="2"/>
      <c r="B80" s="394"/>
      <c r="C80" s="21" t="s">
        <v>371</v>
      </c>
      <c r="D80" s="76">
        <v>2.1</v>
      </c>
      <c r="E80" s="76">
        <v>1.92</v>
      </c>
      <c r="F80" s="78">
        <v>2.5099999999999998</v>
      </c>
      <c r="G80" s="78">
        <v>0.55000000000000004</v>
      </c>
      <c r="I80" s="53"/>
      <c r="J80" s="53"/>
      <c r="K80" s="53"/>
      <c r="L80" s="53"/>
      <c r="M80" s="53"/>
      <c r="N80" s="53"/>
    </row>
    <row r="81" spans="1:14" ht="26.5" x14ac:dyDescent="0.4">
      <c r="A81" s="2"/>
      <c r="B81" s="394"/>
      <c r="C81" s="21" t="s">
        <v>747</v>
      </c>
      <c r="D81" s="76">
        <v>1.9</v>
      </c>
      <c r="E81" s="76">
        <v>3.66</v>
      </c>
      <c r="F81" s="78">
        <v>1.55</v>
      </c>
      <c r="G81" s="78">
        <v>-2.82</v>
      </c>
      <c r="I81" s="53"/>
      <c r="J81" s="53"/>
      <c r="K81" s="53"/>
      <c r="L81" s="53"/>
      <c r="M81" s="53"/>
      <c r="N81" s="53"/>
    </row>
    <row r="82" spans="1:14" x14ac:dyDescent="0.4">
      <c r="A82" s="2"/>
      <c r="B82" s="394"/>
      <c r="C82" s="3" t="s">
        <v>74</v>
      </c>
      <c r="D82" s="127">
        <f>SUM(D80:D81)/2</f>
        <v>2</v>
      </c>
      <c r="E82" s="127">
        <f>SUM(E80:E81)/2</f>
        <v>2.79</v>
      </c>
      <c r="F82" s="127">
        <f>SUM(F80:F81)/2</f>
        <v>2.0299999999999998</v>
      </c>
      <c r="G82" s="127">
        <f>SUM(G80:G81)/2</f>
        <v>-1.1349999999999998</v>
      </c>
      <c r="I82" s="53"/>
      <c r="J82" s="53"/>
      <c r="K82" s="53"/>
      <c r="L82" s="53"/>
      <c r="M82" s="53"/>
      <c r="N82" s="53"/>
    </row>
    <row r="83" spans="1:14" x14ac:dyDescent="0.35">
      <c r="A83" s="2"/>
      <c r="B83" s="394" t="s">
        <v>75</v>
      </c>
      <c r="C83" s="3" t="s">
        <v>370</v>
      </c>
      <c r="D83" s="77">
        <v>10.64</v>
      </c>
      <c r="E83" s="77">
        <f>14.5/1.51</f>
        <v>9.6026490066225172</v>
      </c>
      <c r="F83" s="54">
        <f>I67/F78</f>
        <v>5.9345794392523361</v>
      </c>
      <c r="G83" s="54">
        <f>L67/G78</f>
        <v>-13.823529411764705</v>
      </c>
      <c r="I83" s="53"/>
      <c r="J83" s="53"/>
      <c r="K83" s="53"/>
      <c r="L83" s="53"/>
      <c r="M83" s="53"/>
      <c r="N83" s="53"/>
    </row>
    <row r="84" spans="1:14" x14ac:dyDescent="0.4">
      <c r="A84" s="2"/>
      <c r="B84" s="394"/>
      <c r="C84" s="3" t="s">
        <v>73</v>
      </c>
      <c r="D84" s="76" t="s">
        <v>84</v>
      </c>
      <c r="E84" s="76"/>
      <c r="F84" s="78"/>
      <c r="G84" s="78"/>
      <c r="I84" s="53"/>
      <c r="J84" s="53"/>
      <c r="K84" s="53"/>
      <c r="L84" s="53"/>
      <c r="M84" s="53"/>
      <c r="N84" s="53"/>
    </row>
    <row r="85" spans="1:14" x14ac:dyDescent="0.4">
      <c r="A85" s="2"/>
      <c r="B85" s="394"/>
      <c r="C85" s="21" t="s">
        <v>371</v>
      </c>
      <c r="D85" s="76">
        <v>16.600000000000001</v>
      </c>
      <c r="E85" s="76">
        <f>27.5/1.92</f>
        <v>14.322916666666668</v>
      </c>
      <c r="F85" s="54">
        <f>22/F80</f>
        <v>8.7649402390438258</v>
      </c>
      <c r="G85" s="54">
        <v>57.17</v>
      </c>
      <c r="I85" s="53"/>
      <c r="J85" s="53"/>
      <c r="K85" s="53"/>
      <c r="L85" s="53"/>
      <c r="M85" s="53"/>
      <c r="N85" s="53"/>
    </row>
    <row r="86" spans="1:14" ht="26.5" x14ac:dyDescent="0.4">
      <c r="A86" s="2"/>
      <c r="B86" s="394"/>
      <c r="C86" s="21" t="s">
        <v>747</v>
      </c>
      <c r="D86" s="76">
        <v>12.5</v>
      </c>
      <c r="E86" s="76">
        <f>30.05/3.66</f>
        <v>8.2103825136612016</v>
      </c>
      <c r="F86" s="54">
        <f>16.3/F81</f>
        <v>10.516129032258064</v>
      </c>
      <c r="G86" s="54">
        <v>0</v>
      </c>
      <c r="I86" s="53"/>
      <c r="J86" s="53"/>
      <c r="K86" s="53"/>
      <c r="L86" s="53"/>
      <c r="M86" s="53"/>
      <c r="N86" s="53"/>
    </row>
    <row r="87" spans="1:14" x14ac:dyDescent="0.4">
      <c r="A87" s="2"/>
      <c r="B87" s="394"/>
      <c r="C87" s="3" t="s">
        <v>74</v>
      </c>
      <c r="D87" s="127">
        <f>SUM(D85:D86)/2</f>
        <v>14.55</v>
      </c>
      <c r="E87" s="127">
        <f>SUM(E85:E86)/2</f>
        <v>11.266649590163935</v>
      </c>
      <c r="F87" s="127">
        <f>SUM(F85:F86)/2</f>
        <v>9.640534635650944</v>
      </c>
      <c r="G87" s="127">
        <f>SUM(G85:G86)/2</f>
        <v>28.585000000000001</v>
      </c>
      <c r="I87" s="53"/>
      <c r="J87" s="53"/>
      <c r="K87" s="53"/>
      <c r="L87" s="53"/>
      <c r="M87" s="53"/>
      <c r="N87" s="53"/>
    </row>
    <row r="88" spans="1:14" x14ac:dyDescent="0.35">
      <c r="A88" s="2"/>
      <c r="B88" s="394" t="s">
        <v>76</v>
      </c>
      <c r="C88" s="3" t="s">
        <v>370</v>
      </c>
      <c r="D88" s="65">
        <v>4.4800000000000004</v>
      </c>
      <c r="E88" s="95">
        <f>25833784/442332587</f>
        <v>5.8403528836097257E-2</v>
      </c>
      <c r="F88" s="54">
        <f>36613485/468626806*100</f>
        <v>7.8129301463817677</v>
      </c>
      <c r="G88" s="54">
        <f>-8682046/470264024*100</f>
        <v>-1.8462067172716576</v>
      </c>
      <c r="I88" s="53"/>
      <c r="J88" s="53"/>
      <c r="K88" s="53"/>
      <c r="L88" s="53"/>
      <c r="M88" s="53"/>
      <c r="N88" s="53"/>
    </row>
    <row r="89" spans="1:14" x14ac:dyDescent="0.4">
      <c r="A89" s="2"/>
      <c r="B89" s="394"/>
      <c r="C89" s="3" t="s">
        <v>73</v>
      </c>
      <c r="D89" s="76" t="s">
        <v>84</v>
      </c>
      <c r="E89" s="76"/>
      <c r="F89" s="78"/>
      <c r="G89" s="78"/>
      <c r="I89" s="53"/>
      <c r="J89" s="53"/>
      <c r="K89" s="53"/>
      <c r="L89" s="53"/>
      <c r="M89" s="53"/>
      <c r="N89" s="53"/>
    </row>
    <row r="90" spans="1:14" x14ac:dyDescent="0.4">
      <c r="A90" s="2"/>
      <c r="B90" s="394"/>
      <c r="C90" s="21" t="s">
        <v>371</v>
      </c>
      <c r="D90" s="76">
        <v>2.5</v>
      </c>
      <c r="E90" s="92">
        <f>343.21/11354.87</f>
        <v>3.0225797389137873E-2</v>
      </c>
      <c r="F90" s="54">
        <f>313.15/11221.07*100</f>
        <v>2.790732078135151</v>
      </c>
      <c r="G90" s="54">
        <v>0.63</v>
      </c>
      <c r="I90" s="53"/>
      <c r="J90" s="53"/>
      <c r="K90" s="53"/>
      <c r="L90" s="53"/>
      <c r="M90" s="53"/>
      <c r="N90" s="53"/>
    </row>
    <row r="91" spans="1:14" ht="26.5" x14ac:dyDescent="0.4">
      <c r="A91" s="2"/>
      <c r="B91" s="394"/>
      <c r="C91" s="21" t="s">
        <v>747</v>
      </c>
      <c r="D91" s="76">
        <v>8.1999999999999993</v>
      </c>
      <c r="E91" s="92">
        <f>856.38/21232</f>
        <v>4.0334400904295402E-2</v>
      </c>
      <c r="F91" s="54">
        <f>665.42/21854*100</f>
        <v>3.0448430493273544</v>
      </c>
      <c r="G91" s="54">
        <v>-12.06</v>
      </c>
      <c r="I91" s="53"/>
      <c r="J91" s="53"/>
      <c r="K91" s="53"/>
      <c r="L91" s="53"/>
      <c r="M91" s="53"/>
      <c r="N91" s="53"/>
    </row>
    <row r="92" spans="1:14" x14ac:dyDescent="0.4">
      <c r="A92" s="2"/>
      <c r="B92" s="394"/>
      <c r="C92" s="3" t="s">
        <v>74</v>
      </c>
      <c r="D92" s="127">
        <f>SUM(D90:D91)/2</f>
        <v>5.35</v>
      </c>
      <c r="E92" s="127">
        <f>SUM(E90:E91)/2</f>
        <v>3.5280099146716634E-2</v>
      </c>
      <c r="F92" s="127">
        <f>SUM(F90:F91)/2</f>
        <v>2.9177875637312525</v>
      </c>
      <c r="G92" s="127">
        <f>SUM(G90:G91)/2</f>
        <v>-5.7149999999999999</v>
      </c>
      <c r="I92" s="53"/>
      <c r="J92" s="53"/>
      <c r="K92" s="57"/>
      <c r="L92" s="53"/>
      <c r="M92" s="53"/>
      <c r="N92" s="53"/>
    </row>
    <row r="93" spans="1:14" x14ac:dyDescent="0.35">
      <c r="A93" s="2"/>
      <c r="B93" s="394" t="s">
        <v>77</v>
      </c>
      <c r="C93" s="3" t="s">
        <v>370</v>
      </c>
      <c r="D93" s="65">
        <v>25.16</v>
      </c>
      <c r="E93" s="77">
        <f>442332587/17147670</f>
        <v>25.795492157243519</v>
      </c>
      <c r="F93" s="54">
        <f>468626806/17147670</f>
        <v>27.328891097157808</v>
      </c>
      <c r="G93" s="54">
        <f>470264024/17147670</f>
        <v>27.424368675161116</v>
      </c>
      <c r="I93" s="53"/>
      <c r="J93" s="53"/>
      <c r="K93" s="53"/>
      <c r="L93" s="53"/>
      <c r="M93" s="53"/>
      <c r="N93" s="53"/>
    </row>
    <row r="94" spans="1:14" x14ac:dyDescent="0.4">
      <c r="A94" s="2"/>
      <c r="B94" s="394"/>
      <c r="C94" s="3" t="s">
        <v>73</v>
      </c>
      <c r="D94" s="76" t="s">
        <v>84</v>
      </c>
      <c r="E94" s="76"/>
      <c r="F94" s="78"/>
      <c r="G94" s="78"/>
      <c r="I94" s="53"/>
      <c r="J94" s="53"/>
      <c r="K94" s="53"/>
      <c r="L94" s="53"/>
      <c r="M94" s="53"/>
      <c r="N94" s="53"/>
    </row>
    <row r="95" spans="1:14" x14ac:dyDescent="0.4">
      <c r="A95" s="2"/>
      <c r="B95" s="411"/>
      <c r="C95" s="21" t="s">
        <v>371</v>
      </c>
      <c r="D95" s="76">
        <v>78.099999999999994</v>
      </c>
      <c r="E95" s="76">
        <f>11354.87/125.1</f>
        <v>90.766346922462034</v>
      </c>
      <c r="F95" s="54">
        <f>11221.07*100000/6255000</f>
        <v>179.39360511590726</v>
      </c>
      <c r="G95" s="54">
        <v>85.18</v>
      </c>
      <c r="I95" s="53"/>
      <c r="J95" s="53"/>
      <c r="K95" s="53"/>
      <c r="L95" s="53"/>
      <c r="M95" s="53"/>
      <c r="N95" s="53"/>
    </row>
    <row r="96" spans="1:14" ht="26.5" x14ac:dyDescent="0.4">
      <c r="A96" s="2"/>
      <c r="B96" s="411"/>
      <c r="C96" s="21" t="s">
        <v>747</v>
      </c>
      <c r="D96" s="76">
        <v>21.7</v>
      </c>
      <c r="E96" s="76">
        <f>21232/428</f>
        <v>49.607476635514018</v>
      </c>
      <c r="F96" s="54">
        <f>21854*100000/8560000</f>
        <v>255.30373831775702</v>
      </c>
      <c r="G96" s="54">
        <v>21.88</v>
      </c>
      <c r="I96" s="53"/>
      <c r="J96" s="53"/>
      <c r="K96" s="53"/>
      <c r="L96" s="53"/>
      <c r="M96" s="53"/>
      <c r="N96" s="53"/>
    </row>
    <row r="97" spans="1:14" x14ac:dyDescent="0.4">
      <c r="A97" s="2"/>
      <c r="B97" s="411"/>
      <c r="C97" s="3" t="s">
        <v>74</v>
      </c>
      <c r="D97" s="127">
        <f>SUM(D95:D96)/2</f>
        <v>49.9</v>
      </c>
      <c r="E97" s="127">
        <f>SUM(E95:E96)/2</f>
        <v>70.186911778988019</v>
      </c>
      <c r="F97" s="127">
        <f>SUM(F95:F96)/2</f>
        <v>217.34867171683214</v>
      </c>
      <c r="G97" s="127">
        <f>SUM(G95:G96)/2</f>
        <v>53.53</v>
      </c>
      <c r="I97" s="53"/>
      <c r="J97" s="53"/>
      <c r="K97" s="53"/>
      <c r="L97" s="53"/>
      <c r="M97" s="53"/>
      <c r="N97" s="53"/>
    </row>
    <row r="98" spans="1:14" s="1" customFormat="1" x14ac:dyDescent="0.4">
      <c r="B98" s="412"/>
      <c r="C98" s="413"/>
      <c r="D98" s="413"/>
      <c r="E98" s="413"/>
      <c r="F98" s="413"/>
      <c r="G98" s="414"/>
    </row>
    <row r="99" spans="1:14" ht="12.7" customHeight="1" x14ac:dyDescent="0.4">
      <c r="A99" s="2"/>
      <c r="B99" s="415" t="s">
        <v>372</v>
      </c>
      <c r="C99" s="416"/>
      <c r="D99" s="416"/>
      <c r="E99" s="416"/>
      <c r="F99" s="416"/>
      <c r="G99" s="417"/>
      <c r="H99" s="53"/>
      <c r="I99" s="53"/>
      <c r="J99" s="53"/>
      <c r="K99" s="53"/>
      <c r="L99" s="53"/>
      <c r="M99" s="53"/>
      <c r="N99" s="53"/>
    </row>
    <row r="100" spans="1:14" ht="12.7" customHeight="1" x14ac:dyDescent="0.4">
      <c r="A100" s="2"/>
      <c r="B100" s="418" t="s">
        <v>85</v>
      </c>
      <c r="C100" s="419"/>
      <c r="D100" s="419"/>
      <c r="E100" s="419"/>
      <c r="F100" s="419"/>
      <c r="G100" s="420"/>
      <c r="H100" s="53"/>
      <c r="I100" s="53"/>
      <c r="J100" s="53"/>
      <c r="K100" s="53"/>
      <c r="L100" s="53"/>
      <c r="M100" s="53"/>
      <c r="N100" s="53"/>
    </row>
    <row r="101" spans="1:14" x14ac:dyDescent="0.4">
      <c r="A101" s="2"/>
      <c r="B101" s="363"/>
      <c r="C101" s="368"/>
      <c r="D101" s="368"/>
      <c r="E101" s="368"/>
      <c r="F101" s="368"/>
      <c r="G101" s="369"/>
      <c r="H101" s="53"/>
      <c r="I101" s="53"/>
      <c r="J101" s="53"/>
      <c r="K101" s="53"/>
      <c r="L101" s="53"/>
      <c r="M101" s="53"/>
      <c r="N101" s="53"/>
    </row>
    <row r="102" spans="1:14" x14ac:dyDescent="0.4">
      <c r="C102" s="407"/>
      <c r="D102" s="407"/>
      <c r="E102" s="407"/>
      <c r="F102" s="407"/>
      <c r="G102" s="407"/>
      <c r="H102" s="53"/>
      <c r="I102" s="53"/>
    </row>
    <row r="103" spans="1:14" x14ac:dyDescent="0.4">
      <c r="A103" s="9">
        <v>14</v>
      </c>
      <c r="B103" s="61" t="s">
        <v>78</v>
      </c>
      <c r="C103" s="356" t="s">
        <v>41</v>
      </c>
      <c r="D103" s="357"/>
      <c r="E103" s="357"/>
      <c r="F103" s="357"/>
      <c r="G103" s="408"/>
    </row>
    <row r="104" spans="1:14" x14ac:dyDescent="0.4">
      <c r="A104" s="23"/>
      <c r="C104" s="69"/>
      <c r="D104" s="69"/>
      <c r="E104" s="69"/>
      <c r="F104" s="69"/>
      <c r="G104" s="69"/>
    </row>
    <row r="105" spans="1:14" ht="12.7" customHeight="1" x14ac:dyDescent="0.4">
      <c r="B105" s="409" t="s">
        <v>373</v>
      </c>
      <c r="C105" s="410"/>
      <c r="D105" s="410"/>
      <c r="E105" s="410"/>
      <c r="F105" s="410"/>
      <c r="G105" s="410"/>
      <c r="H105" s="410"/>
    </row>
  </sheetData>
  <sheetProtection password="EB7F" sheet="1" objects="1" scenarios="1"/>
  <mergeCells count="57">
    <mergeCell ref="B105:H105"/>
    <mergeCell ref="B98:G98"/>
    <mergeCell ref="B99:G99"/>
    <mergeCell ref="B100:G100"/>
    <mergeCell ref="B101:G101"/>
    <mergeCell ref="C102:G102"/>
    <mergeCell ref="C103:G103"/>
    <mergeCell ref="B72:N72"/>
    <mergeCell ref="B73:N73"/>
    <mergeCell ref="B75:G75"/>
    <mergeCell ref="B78:B82"/>
    <mergeCell ref="B83:B87"/>
    <mergeCell ref="B88:B92"/>
    <mergeCell ref="B93:B97"/>
    <mergeCell ref="B71:N71"/>
    <mergeCell ref="C55:E55"/>
    <mergeCell ref="C56:E56"/>
    <mergeCell ref="B57:E57"/>
    <mergeCell ref="C59:E59"/>
    <mergeCell ref="B65:B66"/>
    <mergeCell ref="C65:C66"/>
    <mergeCell ref="D65:D66"/>
    <mergeCell ref="E65:E66"/>
    <mergeCell ref="F65:H65"/>
    <mergeCell ref="I65:K65"/>
    <mergeCell ref="L65:N65"/>
    <mergeCell ref="B69:N69"/>
    <mergeCell ref="B70:N70"/>
    <mergeCell ref="B53:B54"/>
    <mergeCell ref="C53:E54"/>
    <mergeCell ref="B33:E33"/>
    <mergeCell ref="B35:E35"/>
    <mergeCell ref="B39:C39"/>
    <mergeCell ref="B42:E42"/>
    <mergeCell ref="C43:E43"/>
    <mergeCell ref="C44:E44"/>
    <mergeCell ref="C45:E45"/>
    <mergeCell ref="B46:E46"/>
    <mergeCell ref="B48:E48"/>
    <mergeCell ref="B50:E50"/>
    <mergeCell ref="B52:E52"/>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29"/>
  <sheetViews>
    <sheetView topLeftCell="A103"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24.07421875" style="8" customWidth="1"/>
    <col min="5" max="5" width="22.3046875" style="8" customWidth="1"/>
    <col min="6" max="6" width="19.84375" style="8" customWidth="1"/>
    <col min="7" max="7" width="22.3046875" style="8" customWidth="1"/>
    <col min="8" max="8" width="8.84375" style="8"/>
    <col min="9" max="9" width="10" style="8" bestFit="1" customWidth="1"/>
    <col min="10" max="16384" width="8.84375" style="8"/>
  </cols>
  <sheetData>
    <row r="1" spans="1:5" ht="14.35" customHeight="1" x14ac:dyDescent="0.4">
      <c r="A1" s="355" t="s">
        <v>0</v>
      </c>
      <c r="B1" s="355"/>
      <c r="D1" s="1"/>
    </row>
    <row r="3" spans="1:5" ht="19.25" customHeight="1" x14ac:dyDescent="0.4">
      <c r="A3" s="2" t="s">
        <v>1</v>
      </c>
      <c r="B3" s="3" t="s">
        <v>2</v>
      </c>
      <c r="C3" s="4" t="s">
        <v>374</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375</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376</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367</v>
      </c>
      <c r="C19" s="354" t="s">
        <v>41</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744</v>
      </c>
      <c r="E28" s="18" t="s">
        <v>745</v>
      </c>
      <c r="F28" s="15"/>
    </row>
    <row r="29" spans="1:14" x14ac:dyDescent="0.4">
      <c r="A29" s="9"/>
      <c r="B29" s="19" t="s">
        <v>24</v>
      </c>
      <c r="C29" s="96">
        <v>6697.14</v>
      </c>
      <c r="D29" s="96">
        <v>7331.47</v>
      </c>
      <c r="E29" s="96">
        <v>6613.27</v>
      </c>
      <c r="F29" s="15"/>
    </row>
    <row r="30" spans="1:14" x14ac:dyDescent="0.4">
      <c r="A30" s="9"/>
      <c r="B30" s="19" t="s">
        <v>25</v>
      </c>
      <c r="C30" s="96">
        <v>344.92</v>
      </c>
      <c r="D30" s="96">
        <v>435.93</v>
      </c>
      <c r="E30" s="96">
        <v>342.75</v>
      </c>
      <c r="F30" s="15"/>
    </row>
    <row r="31" spans="1:14" x14ac:dyDescent="0.4">
      <c r="A31" s="9"/>
      <c r="B31" s="19" t="s">
        <v>26</v>
      </c>
      <c r="C31" s="96">
        <v>552.04999999999995</v>
      </c>
      <c r="D31" s="96">
        <v>552.04999999999995</v>
      </c>
      <c r="E31" s="96">
        <v>55.21</v>
      </c>
      <c r="F31" s="15"/>
    </row>
    <row r="32" spans="1:14" x14ac:dyDescent="0.4">
      <c r="A32" s="9"/>
      <c r="B32" s="19" t="s">
        <v>377</v>
      </c>
      <c r="C32" s="96">
        <v>1993.72</v>
      </c>
      <c r="D32" s="96">
        <v>2396.7600000000002</v>
      </c>
      <c r="E32" s="96">
        <v>2706.23</v>
      </c>
      <c r="F32" s="15"/>
    </row>
    <row r="33" spans="1:10" x14ac:dyDescent="0.4">
      <c r="A33" s="9"/>
      <c r="B33" s="363" t="s">
        <v>294</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446" t="s">
        <v>813</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66.3" x14ac:dyDescent="0.4">
      <c r="A50" s="29"/>
      <c r="B50" s="78" t="s">
        <v>307</v>
      </c>
      <c r="C50" s="78" t="s">
        <v>378</v>
      </c>
      <c r="D50" s="112" t="s">
        <v>691</v>
      </c>
      <c r="E50" s="114" t="s">
        <v>84</v>
      </c>
    </row>
    <row r="51" spans="1:12" x14ac:dyDescent="0.4">
      <c r="A51" s="29"/>
      <c r="B51" s="377"/>
      <c r="C51" s="378"/>
      <c r="D51" s="378"/>
      <c r="E51" s="379"/>
    </row>
    <row r="52" spans="1:12" x14ac:dyDescent="0.4">
      <c r="A52" s="31"/>
      <c r="B52" s="380" t="s">
        <v>170</v>
      </c>
      <c r="C52" s="381"/>
      <c r="D52" s="381"/>
      <c r="E52" s="382"/>
      <c r="F52" s="15"/>
      <c r="G52" s="15"/>
      <c r="H52" s="15"/>
    </row>
    <row r="53" spans="1:12" x14ac:dyDescent="0.4">
      <c r="A53" s="32"/>
      <c r="B53" s="62"/>
      <c r="C53" s="23"/>
      <c r="D53" s="23"/>
      <c r="E53" s="23"/>
      <c r="F53" s="15"/>
      <c r="G53" s="15"/>
      <c r="H53" s="15"/>
      <c r="I53" s="15"/>
    </row>
    <row r="54" spans="1:12" x14ac:dyDescent="0.4">
      <c r="A54" s="24">
        <v>10</v>
      </c>
      <c r="B54" s="376" t="s">
        <v>36</v>
      </c>
      <c r="C54" s="365"/>
      <c r="D54" s="365"/>
      <c r="E54" s="365"/>
      <c r="F54" s="15"/>
      <c r="G54" s="15"/>
      <c r="H54" s="15"/>
    </row>
    <row r="55" spans="1:12" x14ac:dyDescent="0.4">
      <c r="A55" s="29"/>
      <c r="B55" s="383" t="s">
        <v>43</v>
      </c>
      <c r="C55" s="385" t="s">
        <v>379</v>
      </c>
      <c r="D55" s="386"/>
      <c r="E55" s="387"/>
      <c r="K55" s="1"/>
    </row>
    <row r="56" spans="1:12" x14ac:dyDescent="0.4">
      <c r="A56" s="29"/>
      <c r="B56" s="384"/>
      <c r="C56" s="388"/>
      <c r="D56" s="389"/>
      <c r="E56" s="390"/>
      <c r="K56" s="1"/>
    </row>
    <row r="57" spans="1:12" x14ac:dyDescent="0.4">
      <c r="A57" s="24"/>
      <c r="B57" s="33" t="s">
        <v>44</v>
      </c>
      <c r="C57" s="391" t="s">
        <v>692</v>
      </c>
      <c r="D57" s="391"/>
      <c r="E57" s="391"/>
    </row>
    <row r="58" spans="1:12" x14ac:dyDescent="0.4">
      <c r="A58" s="29"/>
      <c r="B58" s="33" t="s">
        <v>45</v>
      </c>
      <c r="C58" s="391" t="s">
        <v>46</v>
      </c>
      <c r="D58" s="391"/>
      <c r="E58" s="391"/>
      <c r="K58" s="34"/>
    </row>
    <row r="59" spans="1:12" x14ac:dyDescent="0.4">
      <c r="A59" s="29"/>
      <c r="B59" s="380" t="s">
        <v>170</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43"/>
      <c r="F66" s="43"/>
      <c r="G66" s="11"/>
      <c r="H66" s="11"/>
      <c r="I66" s="11"/>
      <c r="J66" s="11"/>
      <c r="K66" s="11"/>
      <c r="L66" s="11"/>
      <c r="M66" s="11"/>
      <c r="N66" s="11"/>
    </row>
    <row r="67" spans="1:14" x14ac:dyDescent="0.4">
      <c r="A67" s="9"/>
      <c r="B67" s="17" t="s">
        <v>52</v>
      </c>
      <c r="C67" s="19" t="s">
        <v>380</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381</v>
      </c>
      <c r="D69" s="366" t="s">
        <v>343</v>
      </c>
      <c r="E69" s="403" t="s">
        <v>323</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50.4</v>
      </c>
      <c r="D71" s="46">
        <v>58.6</v>
      </c>
      <c r="E71" s="46">
        <v>55.6</v>
      </c>
      <c r="F71" s="46">
        <v>74.5</v>
      </c>
      <c r="G71" s="46">
        <v>91.5</v>
      </c>
      <c r="H71" s="45">
        <v>46.85</v>
      </c>
      <c r="I71" s="45">
        <v>97.75</v>
      </c>
      <c r="J71" s="45">
        <v>100</v>
      </c>
      <c r="K71" s="45">
        <v>58.8</v>
      </c>
      <c r="L71" s="45">
        <v>66</v>
      </c>
      <c r="M71" s="45">
        <v>101</v>
      </c>
      <c r="N71" s="45">
        <v>65</v>
      </c>
    </row>
    <row r="72" spans="1:14" ht="25.65" x14ac:dyDescent="0.35">
      <c r="A72" s="2"/>
      <c r="B72" s="17" t="s">
        <v>104</v>
      </c>
      <c r="C72" s="45">
        <v>9139.2999999999993</v>
      </c>
      <c r="D72" s="45">
        <v>9525.75</v>
      </c>
      <c r="E72" s="45">
        <v>10799.85</v>
      </c>
      <c r="F72" s="46">
        <v>10113.700000000001</v>
      </c>
      <c r="G72" s="46">
        <v>11171.55</v>
      </c>
      <c r="H72" s="48">
        <v>9075.15</v>
      </c>
      <c r="I72" s="45">
        <v>11623.9</v>
      </c>
      <c r="J72" s="45">
        <v>11760.2</v>
      </c>
      <c r="K72" s="45">
        <v>10004.549999999999</v>
      </c>
      <c r="L72" s="45">
        <v>8597.75</v>
      </c>
      <c r="M72" s="45">
        <v>12430.5</v>
      </c>
      <c r="N72" s="45">
        <v>7511.1</v>
      </c>
    </row>
    <row r="73" spans="1:14" x14ac:dyDescent="0.4">
      <c r="A73" s="2"/>
      <c r="B73" s="401" t="s">
        <v>94</v>
      </c>
      <c r="C73" s="401"/>
      <c r="D73" s="401"/>
      <c r="E73" s="401"/>
      <c r="F73" s="401"/>
      <c r="G73" s="401"/>
      <c r="H73" s="401"/>
      <c r="I73" s="401"/>
      <c r="J73" s="401"/>
      <c r="K73" s="401"/>
      <c r="L73" s="401"/>
      <c r="M73" s="401"/>
      <c r="N73" s="401"/>
    </row>
    <row r="74" spans="1:14" x14ac:dyDescent="0.4">
      <c r="A74" s="2"/>
      <c r="B74" s="359" t="s">
        <v>63</v>
      </c>
      <c r="C74" s="359"/>
      <c r="D74" s="359"/>
      <c r="E74" s="359"/>
      <c r="F74" s="359"/>
      <c r="G74" s="359"/>
      <c r="H74" s="359"/>
      <c r="I74" s="359"/>
      <c r="J74" s="359"/>
      <c r="K74" s="359"/>
      <c r="L74" s="359"/>
      <c r="M74" s="359"/>
      <c r="N74" s="359"/>
    </row>
    <row r="75" spans="1:14" s="1" customFormat="1" x14ac:dyDescent="0.4">
      <c r="B75" s="359" t="s">
        <v>64</v>
      </c>
      <c r="C75" s="359"/>
      <c r="D75" s="359"/>
      <c r="E75" s="359"/>
      <c r="F75" s="359"/>
      <c r="G75" s="359"/>
      <c r="H75" s="359"/>
      <c r="I75" s="359"/>
      <c r="J75" s="359"/>
      <c r="K75" s="359"/>
      <c r="L75" s="359"/>
      <c r="M75" s="359"/>
      <c r="N75" s="359"/>
    </row>
    <row r="76" spans="1:14" x14ac:dyDescent="0.4">
      <c r="A76" s="2"/>
      <c r="B76" s="359" t="s">
        <v>358</v>
      </c>
      <c r="C76" s="359"/>
      <c r="D76" s="359"/>
      <c r="E76" s="359"/>
      <c r="F76" s="359"/>
      <c r="G76" s="359"/>
      <c r="H76" s="359"/>
      <c r="I76" s="359"/>
      <c r="J76" s="359"/>
      <c r="K76" s="359"/>
      <c r="L76" s="359"/>
      <c r="M76" s="359"/>
      <c r="N76" s="359"/>
    </row>
    <row r="77" spans="1:14" x14ac:dyDescent="0.4">
      <c r="A77" s="2"/>
      <c r="B77" s="359" t="s">
        <v>65</v>
      </c>
      <c r="C77" s="359"/>
      <c r="D77" s="359"/>
      <c r="E77" s="359"/>
      <c r="F77" s="359"/>
      <c r="G77" s="359"/>
      <c r="H77" s="359"/>
      <c r="I77" s="359"/>
      <c r="J77" s="359"/>
      <c r="K77" s="359"/>
      <c r="L77" s="359"/>
      <c r="M77" s="359"/>
      <c r="N77" s="359"/>
    </row>
    <row r="78" spans="1:14" x14ac:dyDescent="0.4">
      <c r="A78" s="2"/>
      <c r="B78" s="49"/>
      <c r="C78" s="49"/>
      <c r="D78" s="49"/>
      <c r="E78" s="49"/>
      <c r="F78" s="49"/>
      <c r="G78" s="13"/>
      <c r="H78" s="13"/>
      <c r="I78" s="13"/>
      <c r="J78" s="13"/>
      <c r="K78" s="13"/>
      <c r="L78" s="13"/>
      <c r="M78" s="13"/>
      <c r="N78" s="13"/>
    </row>
    <row r="79" spans="1:14" x14ac:dyDescent="0.4">
      <c r="A79" s="9">
        <v>13</v>
      </c>
      <c r="B79" s="405" t="s">
        <v>66</v>
      </c>
      <c r="C79" s="406"/>
      <c r="D79" s="406"/>
      <c r="E79" s="406"/>
      <c r="F79" s="406"/>
      <c r="G79" s="376"/>
      <c r="H79" s="11"/>
      <c r="I79" s="11"/>
      <c r="J79" s="11"/>
      <c r="K79" s="11"/>
      <c r="L79" s="11"/>
      <c r="M79" s="11"/>
      <c r="N79" s="11"/>
    </row>
    <row r="80" spans="1:14" x14ac:dyDescent="0.4">
      <c r="A80" s="9"/>
      <c r="C80" s="15"/>
      <c r="D80" s="15"/>
      <c r="E80" s="15"/>
      <c r="F80" s="15"/>
      <c r="G80" s="15"/>
      <c r="H80" s="15"/>
      <c r="I80" s="15"/>
      <c r="J80" s="15"/>
      <c r="K80" s="15"/>
      <c r="L80" s="15"/>
      <c r="M80" s="15"/>
      <c r="N80" s="15"/>
    </row>
    <row r="81" spans="1:14" ht="64.05" x14ac:dyDescent="0.4">
      <c r="A81" s="2"/>
      <c r="B81" s="50" t="s">
        <v>67</v>
      </c>
      <c r="C81" s="18" t="s">
        <v>68</v>
      </c>
      <c r="D81" s="18" t="s">
        <v>69</v>
      </c>
      <c r="E81" s="18" t="s">
        <v>382</v>
      </c>
      <c r="F81" s="18" t="s">
        <v>71</v>
      </c>
      <c r="G81" s="18" t="s">
        <v>107</v>
      </c>
      <c r="H81" s="13"/>
      <c r="I81" s="13"/>
      <c r="J81" s="13"/>
      <c r="K81" s="13"/>
      <c r="L81" s="13"/>
      <c r="M81" s="13"/>
      <c r="N81" s="13"/>
    </row>
    <row r="82" spans="1:14" x14ac:dyDescent="0.35">
      <c r="A82" s="2"/>
      <c r="B82" s="394" t="s">
        <v>72</v>
      </c>
      <c r="C82" s="3" t="s">
        <v>383</v>
      </c>
      <c r="D82" s="65">
        <v>7.45</v>
      </c>
      <c r="E82" s="65">
        <v>6.25</v>
      </c>
      <c r="F82" s="78">
        <v>7.9</v>
      </c>
      <c r="G82" s="78">
        <v>6.21</v>
      </c>
      <c r="I82" s="53"/>
      <c r="J82" s="53"/>
      <c r="K82" s="53"/>
      <c r="L82" s="53"/>
      <c r="M82" s="53"/>
      <c r="N82" s="53"/>
    </row>
    <row r="83" spans="1:14" x14ac:dyDescent="0.4">
      <c r="A83" s="2"/>
      <c r="B83" s="394"/>
      <c r="C83" s="3" t="s">
        <v>73</v>
      </c>
      <c r="D83" s="76" t="s">
        <v>84</v>
      </c>
      <c r="E83" s="76"/>
      <c r="F83" s="78"/>
      <c r="G83" s="78"/>
      <c r="I83" s="53"/>
      <c r="J83" s="53"/>
      <c r="K83" s="53"/>
      <c r="L83" s="53"/>
      <c r="M83" s="53"/>
      <c r="N83" s="53"/>
    </row>
    <row r="84" spans="1:14" x14ac:dyDescent="0.4">
      <c r="A84" s="2"/>
      <c r="B84" s="394"/>
      <c r="C84" s="21" t="s">
        <v>746</v>
      </c>
      <c r="D84" s="76">
        <v>4.95</v>
      </c>
      <c r="E84" s="76">
        <v>1.35</v>
      </c>
      <c r="F84" s="78">
        <v>2.4700000000000002</v>
      </c>
      <c r="G84" s="78">
        <v>22.56</v>
      </c>
      <c r="I84" s="53"/>
      <c r="J84" s="53"/>
      <c r="K84" s="53"/>
      <c r="L84" s="53"/>
      <c r="M84" s="53"/>
      <c r="N84" s="53"/>
    </row>
    <row r="85" spans="1:14" x14ac:dyDescent="0.4">
      <c r="A85" s="2"/>
      <c r="B85" s="394"/>
      <c r="C85" s="21" t="s">
        <v>384</v>
      </c>
      <c r="D85" s="76">
        <v>62.87</v>
      </c>
      <c r="E85" s="76">
        <v>63.46</v>
      </c>
      <c r="F85" s="76" t="s">
        <v>84</v>
      </c>
      <c r="G85" s="76">
        <v>59.38</v>
      </c>
      <c r="I85" s="53"/>
      <c r="J85" s="53"/>
      <c r="K85" s="53"/>
      <c r="L85" s="53"/>
      <c r="M85" s="53"/>
      <c r="N85" s="53"/>
    </row>
    <row r="86" spans="1:14" x14ac:dyDescent="0.4">
      <c r="A86" s="2"/>
      <c r="B86" s="394"/>
      <c r="C86" s="21" t="s">
        <v>385</v>
      </c>
      <c r="D86" s="76">
        <v>4.66</v>
      </c>
      <c r="E86" s="76">
        <v>-2.1800000000000002</v>
      </c>
      <c r="F86" s="78">
        <v>-1.06</v>
      </c>
      <c r="G86" s="78">
        <v>-1.19</v>
      </c>
      <c r="I86" s="53"/>
      <c r="J86" s="53"/>
      <c r="K86" s="53"/>
      <c r="L86" s="53"/>
      <c r="M86" s="53"/>
      <c r="N86" s="53"/>
    </row>
    <row r="87" spans="1:14" x14ac:dyDescent="0.4">
      <c r="A87" s="2"/>
      <c r="B87" s="394"/>
      <c r="C87" s="21" t="s">
        <v>386</v>
      </c>
      <c r="D87" s="76">
        <v>26.92</v>
      </c>
      <c r="E87" s="76">
        <v>1.6</v>
      </c>
      <c r="F87" s="78"/>
      <c r="G87" s="78">
        <v>-1.72</v>
      </c>
      <c r="I87" s="53"/>
      <c r="J87" s="53"/>
      <c r="K87" s="53"/>
      <c r="L87" s="53"/>
      <c r="M87" s="53"/>
      <c r="N87" s="53"/>
    </row>
    <row r="88" spans="1:14" x14ac:dyDescent="0.4">
      <c r="A88" s="2"/>
      <c r="B88" s="394"/>
      <c r="C88" s="21" t="s">
        <v>387</v>
      </c>
      <c r="D88" s="76">
        <v>3.77</v>
      </c>
      <c r="E88" s="76">
        <v>0.72</v>
      </c>
      <c r="F88" s="78">
        <v>3.68</v>
      </c>
      <c r="G88" s="78">
        <v>3.85</v>
      </c>
      <c r="I88" s="53"/>
      <c r="J88" s="53"/>
      <c r="K88" s="53"/>
      <c r="L88" s="53"/>
      <c r="M88" s="53"/>
      <c r="N88" s="53"/>
    </row>
    <row r="89" spans="1:14" x14ac:dyDescent="0.4">
      <c r="A89" s="2"/>
      <c r="B89" s="394"/>
      <c r="C89" s="21" t="s">
        <v>388</v>
      </c>
      <c r="D89" s="76">
        <v>4.08</v>
      </c>
      <c r="E89" s="76">
        <v>0.75</v>
      </c>
      <c r="F89" s="78">
        <v>2.81</v>
      </c>
      <c r="G89" s="78">
        <v>-23.12</v>
      </c>
      <c r="I89" s="53"/>
      <c r="J89" s="53"/>
      <c r="K89" s="53"/>
      <c r="L89" s="53"/>
      <c r="M89" s="53"/>
      <c r="N89" s="53"/>
    </row>
    <row r="90" spans="1:14" x14ac:dyDescent="0.4">
      <c r="A90" s="2"/>
      <c r="B90" s="394"/>
      <c r="C90" s="8" t="s">
        <v>389</v>
      </c>
      <c r="D90" s="76">
        <v>1.32</v>
      </c>
      <c r="E90" s="76">
        <v>1.43</v>
      </c>
      <c r="F90" s="78">
        <v>6.45</v>
      </c>
      <c r="G90" s="78">
        <v>5.1100000000000003</v>
      </c>
      <c r="I90" s="53"/>
      <c r="J90" s="53"/>
      <c r="K90" s="53"/>
      <c r="L90" s="53"/>
      <c r="M90" s="53"/>
      <c r="N90" s="53"/>
    </row>
    <row r="91" spans="1:14" x14ac:dyDescent="0.4">
      <c r="A91" s="2"/>
      <c r="B91" s="394"/>
      <c r="C91" s="3" t="s">
        <v>74</v>
      </c>
      <c r="D91" s="127">
        <f>SUM(D84:D90)/7</f>
        <v>15.509999999999996</v>
      </c>
      <c r="E91" s="127">
        <f t="shared" ref="E91:G91" si="0">SUM(E84:E90)/7</f>
        <v>9.5900000000000016</v>
      </c>
      <c r="F91" s="127">
        <f t="shared" si="0"/>
        <v>2.0500000000000003</v>
      </c>
      <c r="G91" s="127">
        <f t="shared" si="0"/>
        <v>9.267142857142856</v>
      </c>
      <c r="I91" s="53"/>
      <c r="J91" s="53"/>
      <c r="K91" s="53"/>
      <c r="L91" s="53"/>
      <c r="M91" s="53"/>
      <c r="N91" s="53"/>
    </row>
    <row r="92" spans="1:14" x14ac:dyDescent="0.35">
      <c r="A92" s="2"/>
      <c r="B92" s="394" t="s">
        <v>75</v>
      </c>
      <c r="C92" s="3" t="s">
        <v>383</v>
      </c>
      <c r="D92" s="77">
        <v>5.64</v>
      </c>
      <c r="E92" s="77">
        <v>11.92</v>
      </c>
      <c r="F92" s="54">
        <f>I71/F82</f>
        <v>12.373417721518987</v>
      </c>
      <c r="G92" s="54">
        <f>L71/G82</f>
        <v>10.628019323671497</v>
      </c>
      <c r="I92" s="53"/>
      <c r="J92" s="53"/>
      <c r="K92" s="53"/>
      <c r="L92" s="53"/>
      <c r="M92" s="53"/>
      <c r="N92" s="53"/>
    </row>
    <row r="93" spans="1:14" x14ac:dyDescent="0.4">
      <c r="A93" s="2"/>
      <c r="B93" s="394"/>
      <c r="C93" s="3" t="s">
        <v>73</v>
      </c>
      <c r="D93" s="76" t="s">
        <v>84</v>
      </c>
      <c r="E93" s="76"/>
      <c r="F93" s="78"/>
      <c r="G93" s="78"/>
      <c r="I93" s="53"/>
      <c r="J93" s="53"/>
      <c r="K93" s="53"/>
      <c r="L93" s="53"/>
      <c r="M93" s="53"/>
      <c r="N93" s="53"/>
    </row>
    <row r="94" spans="1:14" x14ac:dyDescent="0.4">
      <c r="A94" s="2"/>
      <c r="B94" s="394"/>
      <c r="C94" s="21" t="s">
        <v>746</v>
      </c>
      <c r="D94" s="76">
        <v>28.08</v>
      </c>
      <c r="E94" s="76">
        <f>172/1.35</f>
        <v>127.4074074074074</v>
      </c>
      <c r="F94" s="54">
        <f>106/F84</f>
        <v>42.914979757085014</v>
      </c>
      <c r="G94" s="54">
        <v>3.68</v>
      </c>
      <c r="I94" s="53"/>
      <c r="J94" s="53"/>
      <c r="K94" s="53"/>
      <c r="L94" s="53"/>
      <c r="M94" s="53"/>
      <c r="N94" s="53"/>
    </row>
    <row r="95" spans="1:14" x14ac:dyDescent="0.4">
      <c r="A95" s="2"/>
      <c r="B95" s="394"/>
      <c r="C95" s="21" t="s">
        <v>384</v>
      </c>
      <c r="D95" s="76">
        <v>22.28</v>
      </c>
      <c r="E95" s="76" t="s">
        <v>84</v>
      </c>
      <c r="F95" s="76" t="s">
        <v>84</v>
      </c>
      <c r="G95" s="76"/>
      <c r="I95" s="53"/>
      <c r="J95" s="53"/>
      <c r="K95" s="53"/>
      <c r="L95" s="53"/>
      <c r="M95" s="53"/>
      <c r="N95" s="53"/>
    </row>
    <row r="96" spans="1:14" x14ac:dyDescent="0.4">
      <c r="A96" s="2"/>
      <c r="B96" s="394"/>
      <c r="C96" s="21" t="s">
        <v>385</v>
      </c>
      <c r="D96" s="76">
        <v>32.520000000000003</v>
      </c>
      <c r="E96" s="76">
        <f>138.9/(2.18)</f>
        <v>63.715596330275226</v>
      </c>
      <c r="F96" s="54">
        <f>61.3/F86</f>
        <v>-57.830188679245275</v>
      </c>
      <c r="G96" s="76">
        <v>0</v>
      </c>
      <c r="I96" s="53"/>
      <c r="J96" s="53"/>
      <c r="K96" s="53"/>
      <c r="L96" s="53"/>
      <c r="M96" s="53"/>
      <c r="N96" s="53"/>
    </row>
    <row r="97" spans="1:14" x14ac:dyDescent="0.4">
      <c r="A97" s="2"/>
      <c r="B97" s="394"/>
      <c r="C97" s="21" t="s">
        <v>386</v>
      </c>
      <c r="D97" s="76">
        <v>22.64</v>
      </c>
      <c r="E97" s="76">
        <f>67.12/1.6</f>
        <v>41.95</v>
      </c>
      <c r="F97" s="78">
        <v>0</v>
      </c>
      <c r="G97" s="78">
        <v>0</v>
      </c>
      <c r="I97" s="53"/>
      <c r="J97" s="53"/>
      <c r="K97" s="53"/>
      <c r="L97" s="53"/>
      <c r="M97" s="53"/>
      <c r="N97" s="53"/>
    </row>
    <row r="98" spans="1:14" x14ac:dyDescent="0.4">
      <c r="A98" s="2"/>
      <c r="B98" s="394"/>
      <c r="C98" s="21" t="s">
        <v>387</v>
      </c>
      <c r="D98" s="76">
        <v>19.190000000000001</v>
      </c>
      <c r="E98" s="76">
        <f>57.1/0.72</f>
        <v>79.305555555555557</v>
      </c>
      <c r="F98" s="54">
        <f>44/F88</f>
        <v>11.956521739130434</v>
      </c>
      <c r="G98" s="54">
        <v>7.55</v>
      </c>
      <c r="I98" s="53"/>
      <c r="J98" s="53"/>
      <c r="K98" s="53"/>
      <c r="L98" s="53"/>
      <c r="M98" s="53"/>
      <c r="N98" s="53"/>
    </row>
    <row r="99" spans="1:14" x14ac:dyDescent="0.4">
      <c r="A99" s="2"/>
      <c r="B99" s="394"/>
      <c r="C99" s="21" t="s">
        <v>388</v>
      </c>
      <c r="D99" s="76">
        <v>19.43</v>
      </c>
      <c r="E99" s="76">
        <f>52.15/0.75</f>
        <v>69.533333333333331</v>
      </c>
      <c r="F99" s="54">
        <f>36.8/F89</f>
        <v>13.096085409252668</v>
      </c>
      <c r="G99" s="54">
        <v>0</v>
      </c>
      <c r="I99" s="53"/>
      <c r="J99" s="53"/>
      <c r="K99" s="53"/>
      <c r="L99" s="53"/>
      <c r="M99" s="53"/>
      <c r="N99" s="53"/>
    </row>
    <row r="100" spans="1:14" x14ac:dyDescent="0.4">
      <c r="A100" s="2"/>
      <c r="B100" s="394"/>
      <c r="C100" s="8" t="s">
        <v>389</v>
      </c>
      <c r="D100" s="76">
        <v>52.03</v>
      </c>
      <c r="E100" s="76">
        <f>87.4/1.43</f>
        <v>61.118881118881127</v>
      </c>
      <c r="F100" s="54">
        <f>68.55/F90</f>
        <v>10.627906976744185</v>
      </c>
      <c r="G100" s="54">
        <v>8.6199999999999992</v>
      </c>
      <c r="J100" s="53"/>
      <c r="K100" s="53"/>
      <c r="L100" s="53"/>
      <c r="M100" s="53"/>
      <c r="N100" s="53"/>
    </row>
    <row r="101" spans="1:14" x14ac:dyDescent="0.4">
      <c r="A101" s="2"/>
      <c r="B101" s="394"/>
      <c r="C101" s="3" t="s">
        <v>74</v>
      </c>
      <c r="D101" s="127">
        <f>SUM(D94:D100)/7</f>
        <v>28.024285714285714</v>
      </c>
      <c r="E101" s="127">
        <f t="shared" ref="E101:F101" si="1">SUM(E94:E100)/7</f>
        <v>63.29011053506467</v>
      </c>
      <c r="F101" s="127">
        <f t="shared" si="1"/>
        <v>2.9664721718524327</v>
      </c>
      <c r="G101" s="127"/>
      <c r="J101" s="53"/>
      <c r="K101" s="53"/>
      <c r="L101" s="53"/>
      <c r="M101" s="53"/>
      <c r="N101" s="53"/>
    </row>
    <row r="102" spans="1:14" x14ac:dyDescent="0.35">
      <c r="A102" s="2"/>
      <c r="B102" s="394" t="s">
        <v>76</v>
      </c>
      <c r="C102" s="3" t="s">
        <v>383</v>
      </c>
      <c r="D102" s="65">
        <v>18.809999999999999</v>
      </c>
      <c r="E102" s="97">
        <v>0.13550000000000001</v>
      </c>
      <c r="F102" s="54">
        <f>435.93/2948.81*100</f>
        <v>14.783251548929908</v>
      </c>
      <c r="G102" s="54">
        <f>34275194/325828163*100</f>
        <v>10.519408047609438</v>
      </c>
      <c r="I102" s="53"/>
      <c r="J102" s="53"/>
      <c r="K102" s="53"/>
      <c r="L102" s="53"/>
      <c r="M102" s="53"/>
      <c r="N102" s="53"/>
    </row>
    <row r="103" spans="1:14" x14ac:dyDescent="0.4">
      <c r="A103" s="2"/>
      <c r="B103" s="394"/>
      <c r="C103" s="3" t="s">
        <v>73</v>
      </c>
      <c r="D103" s="76" t="s">
        <v>84</v>
      </c>
      <c r="E103" s="76"/>
      <c r="F103" s="78"/>
      <c r="G103" s="78"/>
      <c r="I103" s="53"/>
      <c r="J103" s="53"/>
      <c r="K103" s="53"/>
      <c r="L103" s="53"/>
      <c r="M103" s="53"/>
      <c r="N103" s="53"/>
    </row>
    <row r="104" spans="1:14" x14ac:dyDescent="0.4">
      <c r="A104" s="2"/>
      <c r="B104" s="394"/>
      <c r="C104" s="21" t="s">
        <v>746</v>
      </c>
      <c r="D104" s="76">
        <v>11.82</v>
      </c>
      <c r="E104" s="133">
        <f>163.61/6607.65*100</f>
        <v>2.4760694044024731</v>
      </c>
      <c r="F104" s="54">
        <f>274.36/6511.13*100</f>
        <v>4.2137079124514489</v>
      </c>
      <c r="G104" s="54">
        <v>32.85</v>
      </c>
      <c r="I104" s="53"/>
      <c r="J104" s="53"/>
      <c r="K104" s="53"/>
      <c r="L104" s="53"/>
      <c r="M104" s="53"/>
      <c r="N104" s="53"/>
    </row>
    <row r="105" spans="1:14" x14ac:dyDescent="0.4">
      <c r="A105" s="2"/>
      <c r="B105" s="394"/>
      <c r="C105" s="21" t="s">
        <v>384</v>
      </c>
      <c r="D105" s="76">
        <v>72.760000000000005</v>
      </c>
      <c r="E105" s="76" t="s">
        <v>84</v>
      </c>
      <c r="F105" s="76" t="s">
        <v>84</v>
      </c>
      <c r="G105" s="76">
        <f>886384108/2359428359*100</f>
        <v>37.567748332722317</v>
      </c>
      <c r="I105" s="53"/>
      <c r="J105" s="53"/>
      <c r="K105" s="53"/>
      <c r="L105" s="53"/>
      <c r="M105" s="53"/>
      <c r="N105" s="53"/>
    </row>
    <row r="106" spans="1:14" x14ac:dyDescent="0.4">
      <c r="A106" s="2"/>
      <c r="B106" s="394"/>
      <c r="C106" s="21" t="s">
        <v>385</v>
      </c>
      <c r="D106" s="76">
        <v>20.49</v>
      </c>
      <c r="E106" s="133">
        <f>(884.2)/29516.64*100</f>
        <v>2.9955984149957451</v>
      </c>
      <c r="F106" s="54">
        <f>-399.39/22573.25*100</f>
        <v>-1.7693065907656185</v>
      </c>
      <c r="G106" s="54">
        <v>-2.02</v>
      </c>
      <c r="I106" s="53"/>
      <c r="J106" s="53"/>
      <c r="K106" s="53"/>
      <c r="L106" s="53"/>
      <c r="M106" s="53"/>
      <c r="N106" s="53"/>
    </row>
    <row r="107" spans="1:14" x14ac:dyDescent="0.4">
      <c r="A107" s="2"/>
      <c r="B107" s="394"/>
      <c r="C107" s="21" t="s">
        <v>386</v>
      </c>
      <c r="D107" s="76">
        <v>35</v>
      </c>
      <c r="E107" s="133">
        <f>498.67/7820.27*100</f>
        <v>6.3766340548344234</v>
      </c>
      <c r="F107" s="78"/>
      <c r="G107" s="78">
        <v>-6.15</v>
      </c>
      <c r="I107" s="53"/>
      <c r="J107" s="53"/>
      <c r="K107" s="53"/>
      <c r="L107" s="53"/>
      <c r="M107" s="53"/>
      <c r="N107" s="53"/>
    </row>
    <row r="108" spans="1:14" x14ac:dyDescent="0.4">
      <c r="A108" s="2"/>
      <c r="B108" s="394"/>
      <c r="C108" s="21" t="s">
        <v>387</v>
      </c>
      <c r="D108" s="76">
        <v>3.87</v>
      </c>
      <c r="E108" s="133">
        <f>194.11/8663.18*100</f>
        <v>2.2406321927975639</v>
      </c>
      <c r="F108" s="54">
        <f>1023/8314.95*100</f>
        <v>12.303140728446953</v>
      </c>
      <c r="G108" s="54">
        <v>11.42</v>
      </c>
      <c r="I108" s="53"/>
      <c r="J108" s="53"/>
      <c r="K108" s="53"/>
      <c r="L108" s="53"/>
      <c r="M108" s="53"/>
      <c r="N108" s="53"/>
    </row>
    <row r="109" spans="1:14" x14ac:dyDescent="0.4">
      <c r="A109" s="2"/>
      <c r="B109" s="394"/>
      <c r="C109" s="21" t="s">
        <v>388</v>
      </c>
      <c r="D109" s="76">
        <v>14.76</v>
      </c>
      <c r="E109" s="133">
        <f>182.15/17995.97*100</f>
        <v>1.0121710582980523</v>
      </c>
      <c r="F109" s="54">
        <f>719/18543*100</f>
        <v>3.8774739793992339</v>
      </c>
      <c r="G109" s="54">
        <v>-39.25</v>
      </c>
      <c r="I109" s="53"/>
      <c r="J109" s="53"/>
      <c r="K109" s="53"/>
      <c r="L109" s="53"/>
      <c r="M109" s="53"/>
      <c r="N109" s="53"/>
    </row>
    <row r="110" spans="1:14" x14ac:dyDescent="0.4">
      <c r="A110" s="2"/>
      <c r="B110" s="394"/>
      <c r="C110" s="8" t="s">
        <v>389</v>
      </c>
      <c r="D110" s="76">
        <v>9.6</v>
      </c>
      <c r="E110" s="133">
        <f>212.49/5185.89*100</f>
        <v>4.0974644660800754</v>
      </c>
      <c r="F110" s="54">
        <f>1013.41/6101.97*100</f>
        <v>16.607915148714266</v>
      </c>
      <c r="G110" s="54">
        <v>13.3</v>
      </c>
      <c r="I110" s="53"/>
      <c r="J110" s="53"/>
      <c r="K110" s="53"/>
      <c r="L110" s="53"/>
      <c r="M110" s="53"/>
      <c r="N110" s="53"/>
    </row>
    <row r="111" spans="1:14" x14ac:dyDescent="0.4">
      <c r="A111" s="2"/>
      <c r="B111" s="394"/>
      <c r="C111" s="3" t="s">
        <v>74</v>
      </c>
      <c r="D111" s="127">
        <f>SUM(D104:D110)/7</f>
        <v>24.042857142857141</v>
      </c>
      <c r="E111" s="127">
        <f>SUM(E106:E110)/7</f>
        <v>2.3889285981436941</v>
      </c>
      <c r="F111" s="127">
        <f>SUM(F106:F110)/7</f>
        <v>4.4313176093992626</v>
      </c>
      <c r="G111" s="127">
        <f>SUM(G106:G110)/7</f>
        <v>-3.2428571428571429</v>
      </c>
      <c r="I111" s="53"/>
      <c r="J111" s="53"/>
      <c r="K111" s="57"/>
      <c r="L111" s="53"/>
      <c r="M111" s="53"/>
      <c r="N111" s="53"/>
    </row>
    <row r="112" spans="1:14" x14ac:dyDescent="0.35">
      <c r="A112" s="2"/>
      <c r="B112" s="394" t="s">
        <v>77</v>
      </c>
      <c r="C112" s="3" t="s">
        <v>383</v>
      </c>
      <c r="D112" s="65">
        <v>217.71</v>
      </c>
      <c r="E112" s="76">
        <v>46.11</v>
      </c>
      <c r="F112" s="54">
        <f>294880590/5520500</f>
        <v>53.415558373335749</v>
      </c>
      <c r="G112" s="54">
        <f>325828163/5520500</f>
        <v>59.021494973281406</v>
      </c>
      <c r="I112" s="53"/>
      <c r="J112" s="53"/>
      <c r="K112" s="53"/>
      <c r="L112" s="53"/>
      <c r="M112" s="53"/>
      <c r="N112" s="53"/>
    </row>
    <row r="113" spans="1:14" x14ac:dyDescent="0.35">
      <c r="A113" s="2"/>
      <c r="B113" s="394"/>
      <c r="C113" s="3" t="s">
        <v>73</v>
      </c>
      <c r="D113" s="65"/>
      <c r="E113" s="65"/>
      <c r="F113" s="78"/>
      <c r="G113" s="78"/>
      <c r="I113" s="53"/>
      <c r="J113" s="53"/>
      <c r="K113" s="53"/>
      <c r="L113" s="53"/>
      <c r="M113" s="53"/>
      <c r="N113" s="53"/>
    </row>
    <row r="114" spans="1:14" x14ac:dyDescent="0.35">
      <c r="A114" s="2"/>
      <c r="B114" s="394"/>
      <c r="C114" s="21" t="s">
        <v>746</v>
      </c>
      <c r="D114" s="65">
        <v>44.27</v>
      </c>
      <c r="E114" s="77">
        <f>6607.65/110.904</f>
        <v>59.579906946548363</v>
      </c>
      <c r="F114" s="54">
        <f>6511.13*100000/11117100</f>
        <v>58.568601523778682</v>
      </c>
      <c r="G114" s="54">
        <v>78.760000000000005</v>
      </c>
      <c r="I114" s="53"/>
      <c r="J114" s="53"/>
      <c r="K114" s="53"/>
      <c r="L114" s="53"/>
      <c r="M114" s="53"/>
      <c r="N114" s="53"/>
    </row>
    <row r="115" spans="1:14" x14ac:dyDescent="0.35">
      <c r="A115" s="2"/>
      <c r="B115" s="394"/>
      <c r="C115" s="21" t="s">
        <v>384</v>
      </c>
      <c r="D115" s="65">
        <v>104.72</v>
      </c>
      <c r="E115" s="68" t="s">
        <v>84</v>
      </c>
      <c r="F115" s="68" t="s">
        <v>84</v>
      </c>
      <c r="G115" s="68">
        <f>2359428359/14926866</f>
        <v>158.06588998655175</v>
      </c>
      <c r="I115" s="53"/>
      <c r="J115" s="53"/>
      <c r="K115" s="53"/>
      <c r="L115" s="53"/>
      <c r="M115" s="53"/>
      <c r="N115" s="53"/>
    </row>
    <row r="116" spans="1:14" x14ac:dyDescent="0.4">
      <c r="A116" s="2"/>
      <c r="B116" s="394"/>
      <c r="C116" s="21" t="s">
        <v>385</v>
      </c>
      <c r="D116" s="76">
        <v>45.9</v>
      </c>
      <c r="E116" s="76">
        <f>29516.64/377.902</f>
        <v>78.106599065366154</v>
      </c>
      <c r="F116" s="54">
        <f>22573.25*100000/18895100</f>
        <v>119.46615789278702</v>
      </c>
      <c r="G116" s="54">
        <v>57.57</v>
      </c>
      <c r="I116" s="53"/>
      <c r="J116" s="53"/>
      <c r="K116" s="53"/>
      <c r="L116" s="53"/>
      <c r="M116" s="53"/>
      <c r="N116" s="53"/>
    </row>
    <row r="117" spans="1:14" x14ac:dyDescent="0.4">
      <c r="A117" s="2"/>
      <c r="B117" s="411"/>
      <c r="C117" s="21" t="s">
        <v>386</v>
      </c>
      <c r="D117" s="76">
        <v>98.31</v>
      </c>
      <c r="E117" s="76">
        <f>7820.27/305.176</f>
        <v>25.625442367682915</v>
      </c>
      <c r="F117" s="78"/>
      <c r="G117" s="78">
        <v>27.11</v>
      </c>
      <c r="I117" s="53"/>
      <c r="J117" s="53"/>
      <c r="K117" s="53"/>
      <c r="L117" s="53"/>
      <c r="M117" s="53"/>
      <c r="N117" s="53"/>
    </row>
    <row r="118" spans="1:14" x14ac:dyDescent="0.4">
      <c r="A118" s="2"/>
      <c r="B118" s="411"/>
      <c r="C118" s="21" t="s">
        <v>387</v>
      </c>
      <c r="D118" s="76">
        <v>25.75</v>
      </c>
      <c r="E118" s="76">
        <f>8663.18/274.146</f>
        <v>31.600606975844986</v>
      </c>
      <c r="F118" s="54">
        <f>8314.95*100000/27515600</f>
        <v>30.219039381296433</v>
      </c>
      <c r="G118" s="54">
        <v>34.99</v>
      </c>
      <c r="I118" s="53"/>
      <c r="J118" s="53"/>
      <c r="K118" s="53"/>
      <c r="L118" s="53"/>
      <c r="M118" s="53"/>
      <c r="N118" s="53"/>
    </row>
    <row r="119" spans="1:14" x14ac:dyDescent="0.4">
      <c r="A119" s="2"/>
      <c r="B119" s="411"/>
      <c r="C119" s="21" t="s">
        <v>388</v>
      </c>
      <c r="D119" s="76">
        <v>77.87</v>
      </c>
      <c r="E119" s="76">
        <f>17995.97/256.219</f>
        <v>70.236672534043151</v>
      </c>
      <c r="F119" s="54">
        <f>18543*100000/25620000</f>
        <v>72.377049180327873</v>
      </c>
      <c r="G119" s="54">
        <v>46.87</v>
      </c>
      <c r="I119" s="53"/>
      <c r="J119" s="53"/>
      <c r="K119" s="53"/>
      <c r="L119" s="53"/>
      <c r="M119" s="53"/>
      <c r="N119" s="53"/>
    </row>
    <row r="120" spans="1:14" x14ac:dyDescent="0.4">
      <c r="A120" s="2"/>
      <c r="B120" s="411"/>
      <c r="C120" s="8" t="s">
        <v>389</v>
      </c>
      <c r="D120" s="76">
        <v>27.91</v>
      </c>
      <c r="E120" s="76">
        <f>5185.89/155.421</f>
        <v>33.366726504140374</v>
      </c>
      <c r="F120" s="54">
        <f>6101.97*100000/15804900</f>
        <v>38.608089896171442</v>
      </c>
      <c r="G120" s="54">
        <v>40.67</v>
      </c>
      <c r="I120" s="53"/>
      <c r="J120" s="53"/>
      <c r="K120" s="53"/>
      <c r="L120" s="53"/>
      <c r="M120" s="53"/>
      <c r="N120" s="53"/>
    </row>
    <row r="121" spans="1:14" x14ac:dyDescent="0.4">
      <c r="A121" s="2"/>
      <c r="B121" s="411"/>
      <c r="C121" s="3" t="s">
        <v>74</v>
      </c>
      <c r="D121" s="127">
        <f>SUM(D114:D120)/7</f>
        <v>60.675714285714299</v>
      </c>
      <c r="E121" s="127">
        <f t="shared" ref="E121:G121" si="2">SUM(E114:E120)/7</f>
        <v>42.645136341946568</v>
      </c>
      <c r="F121" s="127">
        <f t="shared" si="2"/>
        <v>45.605562553480205</v>
      </c>
      <c r="G121" s="127">
        <f t="shared" si="2"/>
        <v>63.433698569507399</v>
      </c>
      <c r="I121" s="53"/>
      <c r="J121" s="53"/>
      <c r="K121" s="53"/>
      <c r="L121" s="53"/>
      <c r="M121" s="53"/>
      <c r="N121" s="53"/>
    </row>
    <row r="122" spans="1:14" s="1" customFormat="1" x14ac:dyDescent="0.4">
      <c r="B122" s="412"/>
      <c r="C122" s="413"/>
      <c r="D122" s="413"/>
      <c r="E122" s="413"/>
      <c r="F122" s="413"/>
      <c r="G122" s="414"/>
    </row>
    <row r="123" spans="1:14" x14ac:dyDescent="0.4">
      <c r="A123" s="2"/>
      <c r="B123" s="415" t="s">
        <v>390</v>
      </c>
      <c r="C123" s="416"/>
      <c r="D123" s="416"/>
      <c r="E123" s="416"/>
      <c r="F123" s="416"/>
      <c r="G123" s="417"/>
      <c r="H123" s="53"/>
      <c r="I123" s="53"/>
      <c r="J123" s="53"/>
      <c r="K123" s="53"/>
      <c r="L123" s="53"/>
      <c r="M123" s="53"/>
      <c r="N123" s="53"/>
    </row>
    <row r="124" spans="1:14" x14ac:dyDescent="0.4">
      <c r="A124" s="2"/>
      <c r="B124" s="418" t="s">
        <v>85</v>
      </c>
      <c r="C124" s="419"/>
      <c r="D124" s="419"/>
      <c r="E124" s="419"/>
      <c r="F124" s="419"/>
      <c r="G124" s="420"/>
      <c r="H124" s="53"/>
      <c r="I124" s="53"/>
      <c r="J124" s="53"/>
      <c r="K124" s="53"/>
      <c r="L124" s="53"/>
      <c r="M124" s="53"/>
      <c r="N124" s="53"/>
    </row>
    <row r="125" spans="1:14" x14ac:dyDescent="0.4">
      <c r="A125" s="2"/>
      <c r="B125" s="363" t="s">
        <v>304</v>
      </c>
      <c r="C125" s="368"/>
      <c r="D125" s="368"/>
      <c r="E125" s="368"/>
      <c r="F125" s="368"/>
      <c r="G125" s="369"/>
      <c r="H125" s="53"/>
      <c r="I125" s="53"/>
      <c r="J125" s="53"/>
      <c r="K125" s="53"/>
      <c r="L125" s="53"/>
      <c r="M125" s="53"/>
      <c r="N125" s="53"/>
    </row>
    <row r="126" spans="1:14" x14ac:dyDescent="0.4">
      <c r="C126" s="407"/>
      <c r="D126" s="407"/>
      <c r="E126" s="407"/>
      <c r="F126" s="407"/>
      <c r="G126" s="407"/>
      <c r="H126" s="53"/>
      <c r="I126" s="53"/>
    </row>
    <row r="127" spans="1:14" x14ac:dyDescent="0.4">
      <c r="A127" s="9">
        <v>14</v>
      </c>
      <c r="B127" s="61" t="s">
        <v>78</v>
      </c>
      <c r="C127" s="356" t="s">
        <v>41</v>
      </c>
      <c r="D127" s="357"/>
      <c r="E127" s="357"/>
      <c r="F127" s="357"/>
      <c r="G127" s="408"/>
    </row>
    <row r="128" spans="1:14" x14ac:dyDescent="0.4">
      <c r="A128" s="23"/>
      <c r="C128" s="69"/>
      <c r="D128" s="69"/>
      <c r="E128" s="69"/>
      <c r="F128" s="69"/>
      <c r="G128" s="69"/>
    </row>
    <row r="129" spans="2:8" x14ac:dyDescent="0.4">
      <c r="B129" s="409" t="s">
        <v>391</v>
      </c>
      <c r="C129" s="410"/>
      <c r="D129" s="410"/>
      <c r="E129" s="410"/>
      <c r="F129" s="410"/>
      <c r="G129" s="410"/>
      <c r="H129" s="410"/>
    </row>
  </sheetData>
  <sheetProtection password="EB7F" sheet="1" objects="1" scenarios="1"/>
  <mergeCells count="59">
    <mergeCell ref="C127:G127"/>
    <mergeCell ref="B129:H129"/>
    <mergeCell ref="B112:B121"/>
    <mergeCell ref="B122:G122"/>
    <mergeCell ref="B123:G123"/>
    <mergeCell ref="B124:G124"/>
    <mergeCell ref="B125:G125"/>
    <mergeCell ref="C126:G126"/>
    <mergeCell ref="B102:B111"/>
    <mergeCell ref="F69:H69"/>
    <mergeCell ref="I69:K69"/>
    <mergeCell ref="L69:N69"/>
    <mergeCell ref="B73:N73"/>
    <mergeCell ref="B74:N74"/>
    <mergeCell ref="B75:N75"/>
    <mergeCell ref="B69:B70"/>
    <mergeCell ref="C69:C70"/>
    <mergeCell ref="D69:D70"/>
    <mergeCell ref="E69:E70"/>
    <mergeCell ref="B76:N76"/>
    <mergeCell ref="B77:N77"/>
    <mergeCell ref="B79:G79"/>
    <mergeCell ref="B82:B91"/>
    <mergeCell ref="B92:B101"/>
    <mergeCell ref="C57:E57"/>
    <mergeCell ref="C58:E58"/>
    <mergeCell ref="B59:E59"/>
    <mergeCell ref="B60:E60"/>
    <mergeCell ref="C63:E63"/>
    <mergeCell ref="B48:E48"/>
    <mergeCell ref="B51:E51"/>
    <mergeCell ref="B52:E52"/>
    <mergeCell ref="B54:E54"/>
    <mergeCell ref="B55:B56"/>
    <mergeCell ref="C55:E56"/>
    <mergeCell ref="B46:E46"/>
    <mergeCell ref="C22:E22"/>
    <mergeCell ref="B23:E23"/>
    <mergeCell ref="B26:E26"/>
    <mergeCell ref="B27:E27"/>
    <mergeCell ref="B33:E33"/>
    <mergeCell ref="B35:E35"/>
    <mergeCell ref="B39:C39"/>
    <mergeCell ref="B42:E42"/>
    <mergeCell ref="C43:E43"/>
    <mergeCell ref="C44:E44"/>
    <mergeCell ref="C45:E45"/>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118"/>
  <sheetViews>
    <sheetView topLeftCell="D94"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21.3046875" style="8" customWidth="1"/>
    <col min="5" max="5" width="22.3046875" style="8" customWidth="1"/>
    <col min="6" max="6" width="19.84375" style="8" customWidth="1"/>
    <col min="7" max="7" width="22.3046875" style="8" customWidth="1"/>
    <col min="8" max="8" width="8.84375" style="8"/>
    <col min="9" max="9" width="10" style="8" bestFit="1" customWidth="1"/>
    <col min="10" max="16384" width="8.84375" style="8"/>
  </cols>
  <sheetData>
    <row r="1" spans="1:5" ht="14.35" customHeight="1" x14ac:dyDescent="0.4">
      <c r="A1" s="355" t="s">
        <v>0</v>
      </c>
      <c r="B1" s="355"/>
      <c r="D1" s="1"/>
    </row>
    <row r="3" spans="1:5" ht="19.25" customHeight="1" x14ac:dyDescent="0.4">
      <c r="A3" s="2" t="s">
        <v>1</v>
      </c>
      <c r="B3" s="3" t="s">
        <v>2</v>
      </c>
      <c r="C3" s="4" t="s">
        <v>392</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393</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394</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367</v>
      </c>
      <c r="C19" s="367" t="s">
        <v>13</v>
      </c>
      <c r="D19" s="367"/>
      <c r="E19" s="367"/>
      <c r="F19" s="15"/>
      <c r="G19" s="13"/>
      <c r="I19" s="13"/>
      <c r="J19" s="13"/>
      <c r="K19" s="13"/>
      <c r="L19" s="13"/>
      <c r="M19" s="13"/>
      <c r="N19" s="13"/>
    </row>
    <row r="20" spans="1:14" x14ac:dyDescent="0.4">
      <c r="A20" s="9"/>
      <c r="B20" s="14" t="s">
        <v>14</v>
      </c>
      <c r="C20" s="367" t="s">
        <v>13</v>
      </c>
      <c r="D20" s="367"/>
      <c r="E20" s="367"/>
      <c r="F20" s="15"/>
      <c r="G20" s="13"/>
      <c r="H20" s="13"/>
      <c r="I20" s="13"/>
      <c r="J20" s="13"/>
      <c r="K20" s="13"/>
      <c r="L20" s="13"/>
      <c r="M20" s="13"/>
      <c r="N20" s="13"/>
    </row>
    <row r="21" spans="1:14" x14ac:dyDescent="0.4">
      <c r="A21" s="9"/>
      <c r="B21" s="14" t="s">
        <v>15</v>
      </c>
      <c r="C21" s="367" t="s">
        <v>13</v>
      </c>
      <c r="D21" s="367"/>
      <c r="E21" s="367"/>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25.5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ht="12.7" customHeight="1" x14ac:dyDescent="0.4">
      <c r="A29" s="9"/>
      <c r="B29" s="19" t="s">
        <v>24</v>
      </c>
      <c r="C29" s="96">
        <v>2555.88</v>
      </c>
      <c r="D29" s="119">
        <v>3235.65</v>
      </c>
      <c r="E29" s="119">
        <v>2858.13</v>
      </c>
      <c r="F29" s="15"/>
    </row>
    <row r="30" spans="1:14" x14ac:dyDescent="0.4">
      <c r="A30" s="9"/>
      <c r="B30" s="19" t="s">
        <v>25</v>
      </c>
      <c r="C30" s="96">
        <v>176.59</v>
      </c>
      <c r="D30" s="96">
        <v>6.21</v>
      </c>
      <c r="E30" s="96">
        <v>-983.88</v>
      </c>
      <c r="F30" s="15"/>
    </row>
    <row r="31" spans="1:14" x14ac:dyDescent="0.4">
      <c r="A31" s="9"/>
      <c r="B31" s="19" t="s">
        <v>26</v>
      </c>
      <c r="C31" s="96">
        <v>1278.27</v>
      </c>
      <c r="D31" s="96">
        <v>1278.28</v>
      </c>
      <c r="E31" s="96">
        <v>1278.28</v>
      </c>
      <c r="F31" s="15"/>
    </row>
    <row r="32" spans="1:14" x14ac:dyDescent="0.4">
      <c r="A32" s="9"/>
      <c r="B32" s="19" t="s">
        <v>27</v>
      </c>
      <c r="C32" s="96">
        <v>1464.27</v>
      </c>
      <c r="D32" s="119">
        <v>1470.47</v>
      </c>
      <c r="E32" s="119">
        <v>486.6</v>
      </c>
      <c r="F32" s="15"/>
    </row>
    <row r="33" spans="1:10" ht="12.7" customHeight="1" x14ac:dyDescent="0.4">
      <c r="A33" s="9"/>
      <c r="B33" s="363" t="s">
        <v>294</v>
      </c>
      <c r="C33" s="368"/>
      <c r="D33" s="368"/>
      <c r="E33" s="369"/>
      <c r="F33" s="15"/>
    </row>
    <row r="34" spans="1:10" x14ac:dyDescent="0.4">
      <c r="A34" s="9"/>
      <c r="B34" s="13"/>
      <c r="C34" s="15"/>
      <c r="D34" s="15"/>
      <c r="E34" s="15"/>
      <c r="F34" s="15"/>
    </row>
    <row r="35" spans="1:10" ht="27.05"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814</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446" t="s">
        <v>79</v>
      </c>
      <c r="D45" s="446"/>
      <c r="E45" s="446"/>
      <c r="F45" s="13"/>
    </row>
    <row r="46" spans="1:10" ht="12.7" customHeight="1" x14ac:dyDescent="0.4">
      <c r="A46" s="9"/>
      <c r="B46" s="363" t="s">
        <v>35</v>
      </c>
      <c r="C46" s="368"/>
      <c r="D46" s="368"/>
      <c r="E46" s="369"/>
      <c r="F46" s="13"/>
    </row>
    <row r="47" spans="1:10" x14ac:dyDescent="0.4">
      <c r="A47" s="2"/>
      <c r="D47" s="23"/>
      <c r="E47" s="13"/>
    </row>
    <row r="48" spans="1:10" ht="12.7" customHeight="1"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79.55" customHeight="1" x14ac:dyDescent="0.4">
      <c r="A50" s="29"/>
      <c r="B50" s="78" t="s">
        <v>307</v>
      </c>
      <c r="C50" s="78" t="s">
        <v>395</v>
      </c>
      <c r="D50" s="78" t="s">
        <v>694</v>
      </c>
      <c r="E50" s="27" t="s">
        <v>41</v>
      </c>
    </row>
    <row r="51" spans="1:12" ht="12.7" customHeight="1" x14ac:dyDescent="0.4">
      <c r="A51" s="29"/>
      <c r="B51" s="363" t="s">
        <v>396</v>
      </c>
      <c r="C51" s="368"/>
      <c r="D51" s="368"/>
      <c r="E51" s="369"/>
    </row>
    <row r="52" spans="1:12" ht="12.7" customHeight="1" x14ac:dyDescent="0.4">
      <c r="A52" s="31"/>
      <c r="B52" s="380" t="s">
        <v>170</v>
      </c>
      <c r="C52" s="381"/>
      <c r="D52" s="381"/>
      <c r="E52" s="382"/>
      <c r="F52" s="15"/>
      <c r="G52" s="15"/>
      <c r="H52" s="15"/>
    </row>
    <row r="53" spans="1:12" x14ac:dyDescent="0.4">
      <c r="A53" s="32"/>
      <c r="B53" s="62"/>
      <c r="C53" s="23"/>
      <c r="D53" s="23"/>
      <c r="E53" s="23"/>
      <c r="F53" s="15"/>
      <c r="G53" s="15"/>
      <c r="H53" s="15"/>
      <c r="I53" s="15"/>
    </row>
    <row r="54" spans="1:12" ht="12.7" customHeight="1" x14ac:dyDescent="0.4">
      <c r="A54" s="24">
        <v>10</v>
      </c>
      <c r="B54" s="376" t="s">
        <v>36</v>
      </c>
      <c r="C54" s="365"/>
      <c r="D54" s="365"/>
      <c r="E54" s="365"/>
      <c r="F54" s="15"/>
      <c r="G54" s="15"/>
      <c r="H54" s="15"/>
    </row>
    <row r="55" spans="1:12" ht="12.7" customHeight="1" x14ac:dyDescent="0.4">
      <c r="A55" s="29"/>
      <c r="B55" s="383" t="s">
        <v>43</v>
      </c>
      <c r="C55" s="385" t="s">
        <v>398</v>
      </c>
      <c r="D55" s="386"/>
      <c r="E55" s="387"/>
      <c r="K55" s="1"/>
    </row>
    <row r="56" spans="1:12" ht="30.05" customHeight="1" x14ac:dyDescent="0.4">
      <c r="A56" s="29"/>
      <c r="B56" s="384"/>
      <c r="C56" s="388"/>
      <c r="D56" s="389"/>
      <c r="E56" s="390"/>
      <c r="K56" s="1"/>
    </row>
    <row r="57" spans="1:12" ht="41.3" customHeight="1" x14ac:dyDescent="0.4">
      <c r="A57" s="24"/>
      <c r="B57" s="33" t="s">
        <v>44</v>
      </c>
      <c r="C57" s="391" t="s">
        <v>695</v>
      </c>
      <c r="D57" s="391"/>
      <c r="E57" s="391"/>
    </row>
    <row r="58" spans="1:12" x14ac:dyDescent="0.4">
      <c r="A58" s="29"/>
      <c r="B58" s="33" t="s">
        <v>45</v>
      </c>
      <c r="C58" s="391" t="s">
        <v>46</v>
      </c>
      <c r="D58" s="391"/>
      <c r="E58" s="391"/>
      <c r="K58" s="34"/>
    </row>
    <row r="59" spans="1:12" ht="12.7" customHeight="1" x14ac:dyDescent="0.4">
      <c r="A59" s="29"/>
      <c r="B59" s="380" t="s">
        <v>397</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ht="12.7" customHeight="1"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43"/>
      <c r="F66" s="43"/>
      <c r="G66" s="43"/>
      <c r="H66" s="11"/>
      <c r="I66" s="11"/>
      <c r="J66" s="11"/>
      <c r="K66" s="11"/>
      <c r="L66" s="11"/>
      <c r="M66" s="11"/>
      <c r="N66" s="11"/>
    </row>
    <row r="67" spans="1:14" x14ac:dyDescent="0.4">
      <c r="A67" s="9"/>
      <c r="B67" s="17" t="s">
        <v>52</v>
      </c>
      <c r="C67" s="19" t="s">
        <v>380</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ht="12.7" customHeight="1" x14ac:dyDescent="0.4">
      <c r="A69" s="9"/>
      <c r="B69" s="365" t="s">
        <v>53</v>
      </c>
      <c r="C69" s="366" t="s">
        <v>399</v>
      </c>
      <c r="D69" s="366" t="s">
        <v>343</v>
      </c>
      <c r="E69" s="403" t="s">
        <v>323</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50.4</v>
      </c>
      <c r="D71" s="46">
        <v>103.75</v>
      </c>
      <c r="E71" s="46">
        <v>135</v>
      </c>
      <c r="F71" s="46">
        <v>84.65</v>
      </c>
      <c r="G71" s="46">
        <v>144</v>
      </c>
      <c r="H71" s="45">
        <v>50.4</v>
      </c>
      <c r="I71" s="45">
        <v>37</v>
      </c>
      <c r="J71" s="45">
        <v>90.7</v>
      </c>
      <c r="K71" s="45">
        <v>26.9</v>
      </c>
      <c r="L71" s="45">
        <v>6.45</v>
      </c>
      <c r="M71" s="45">
        <v>35.15</v>
      </c>
      <c r="N71" s="45">
        <v>6.45</v>
      </c>
    </row>
    <row r="72" spans="1:14" ht="25.65" x14ac:dyDescent="0.4">
      <c r="A72" s="2"/>
      <c r="B72" s="17" t="s">
        <v>104</v>
      </c>
      <c r="C72" s="45">
        <v>9653.5</v>
      </c>
      <c r="D72" s="45">
        <v>9615</v>
      </c>
      <c r="E72" s="45">
        <v>9788.6</v>
      </c>
      <c r="F72" s="46">
        <v>10113.700000000001</v>
      </c>
      <c r="G72" s="46">
        <v>11171.55</v>
      </c>
      <c r="H72" s="46">
        <v>9075.15</v>
      </c>
      <c r="I72" s="45">
        <v>11623.9</v>
      </c>
      <c r="J72" s="45">
        <v>11760.2</v>
      </c>
      <c r="K72" s="45">
        <v>10004.549999999999</v>
      </c>
      <c r="L72" s="45">
        <v>8597.75</v>
      </c>
      <c r="M72" s="45">
        <v>12430.5</v>
      </c>
      <c r="N72" s="45">
        <v>7511.1</v>
      </c>
    </row>
    <row r="73" spans="1:14" x14ac:dyDescent="0.4">
      <c r="A73" s="2"/>
      <c r="B73" s="399"/>
      <c r="C73" s="400"/>
      <c r="D73" s="400"/>
      <c r="E73" s="400"/>
      <c r="F73" s="399"/>
      <c r="G73" s="399"/>
      <c r="H73" s="399"/>
      <c r="I73" s="399"/>
      <c r="J73" s="399"/>
      <c r="K73" s="399"/>
      <c r="L73" s="399"/>
      <c r="M73" s="399"/>
      <c r="N73" s="399"/>
    </row>
    <row r="74" spans="1:14" x14ac:dyDescent="0.4">
      <c r="A74" s="2"/>
      <c r="B74" s="401" t="s">
        <v>693</v>
      </c>
      <c r="C74" s="401"/>
      <c r="D74" s="401"/>
      <c r="E74" s="401"/>
      <c r="F74" s="401"/>
      <c r="G74" s="401"/>
      <c r="H74" s="401"/>
      <c r="I74" s="401"/>
      <c r="J74" s="401"/>
      <c r="K74" s="401"/>
      <c r="L74" s="401"/>
      <c r="M74" s="401"/>
      <c r="N74" s="401"/>
    </row>
    <row r="75" spans="1:14" ht="12.7" customHeight="1" x14ac:dyDescent="0.4">
      <c r="A75" s="2"/>
      <c r="B75" s="359" t="s">
        <v>63</v>
      </c>
      <c r="C75" s="359"/>
      <c r="D75" s="359"/>
      <c r="E75" s="359"/>
      <c r="F75" s="359"/>
      <c r="G75" s="359"/>
      <c r="H75" s="359"/>
      <c r="I75" s="359"/>
      <c r="J75" s="359"/>
      <c r="K75" s="359"/>
      <c r="L75" s="359"/>
      <c r="M75" s="359"/>
      <c r="N75" s="359"/>
    </row>
    <row r="76" spans="1:14" s="1" customFormat="1" ht="12.7" customHeight="1" x14ac:dyDescent="0.4">
      <c r="B76" s="359" t="s">
        <v>64</v>
      </c>
      <c r="C76" s="359"/>
      <c r="D76" s="359"/>
      <c r="E76" s="359"/>
      <c r="F76" s="359"/>
      <c r="G76" s="359"/>
      <c r="H76" s="359"/>
      <c r="I76" s="359"/>
      <c r="J76" s="359"/>
      <c r="K76" s="359"/>
      <c r="L76" s="359"/>
      <c r="M76" s="359"/>
      <c r="N76" s="359"/>
    </row>
    <row r="77" spans="1:14" ht="12.7" customHeight="1" x14ac:dyDescent="0.4">
      <c r="A77" s="2"/>
      <c r="B77" s="359" t="s">
        <v>358</v>
      </c>
      <c r="C77" s="359"/>
      <c r="D77" s="359"/>
      <c r="E77" s="359"/>
      <c r="F77" s="359"/>
      <c r="G77" s="359"/>
      <c r="H77" s="359"/>
      <c r="I77" s="359"/>
      <c r="J77" s="359"/>
      <c r="K77" s="359"/>
      <c r="L77" s="359"/>
      <c r="M77" s="359"/>
      <c r="N77" s="359"/>
    </row>
    <row r="78" spans="1:14" ht="12.7" customHeight="1" x14ac:dyDescent="0.4">
      <c r="A78" s="2"/>
      <c r="B78" s="359" t="s">
        <v>65</v>
      </c>
      <c r="C78" s="359"/>
      <c r="D78" s="359"/>
      <c r="E78" s="359"/>
      <c r="F78" s="359"/>
      <c r="G78" s="359"/>
      <c r="H78" s="359"/>
      <c r="I78" s="359"/>
      <c r="J78" s="359"/>
      <c r="K78" s="359"/>
      <c r="L78" s="359"/>
      <c r="M78" s="359"/>
      <c r="N78" s="359"/>
    </row>
    <row r="79" spans="1:14" x14ac:dyDescent="0.4">
      <c r="A79" s="2"/>
      <c r="B79" s="49"/>
      <c r="C79" s="49"/>
      <c r="D79" s="49"/>
      <c r="E79" s="49"/>
      <c r="F79" s="49"/>
      <c r="G79" s="13"/>
      <c r="H79" s="13"/>
      <c r="I79" s="13"/>
      <c r="J79" s="13"/>
      <c r="K79" s="13"/>
      <c r="L79" s="13"/>
      <c r="M79" s="13"/>
      <c r="N79" s="13"/>
    </row>
    <row r="80" spans="1:14" ht="12.7" customHeight="1" x14ac:dyDescent="0.4">
      <c r="A80" s="9">
        <v>13</v>
      </c>
      <c r="B80" s="405" t="s">
        <v>66</v>
      </c>
      <c r="C80" s="406"/>
      <c r="D80" s="406"/>
      <c r="E80" s="406"/>
      <c r="F80" s="406"/>
      <c r="G80" s="376"/>
      <c r="H80" s="11"/>
      <c r="I80" s="11"/>
      <c r="J80" s="11"/>
      <c r="K80" s="11"/>
      <c r="L80" s="11"/>
      <c r="M80" s="11"/>
      <c r="N80" s="11"/>
    </row>
    <row r="81" spans="1:14" x14ac:dyDescent="0.4">
      <c r="A81" s="9"/>
      <c r="C81" s="15"/>
      <c r="D81" s="15"/>
      <c r="E81" s="15"/>
      <c r="F81" s="15"/>
      <c r="G81" s="15"/>
      <c r="H81" s="15"/>
      <c r="I81" s="15"/>
      <c r="J81" s="15"/>
      <c r="K81" s="15"/>
      <c r="L81" s="15"/>
      <c r="M81" s="15"/>
      <c r="N81" s="15"/>
    </row>
    <row r="82" spans="1:14" ht="64.05" x14ac:dyDescent="0.4">
      <c r="A82" s="2"/>
      <c r="B82" s="50" t="s">
        <v>67</v>
      </c>
      <c r="C82" s="18" t="s">
        <v>68</v>
      </c>
      <c r="D82" s="18" t="s">
        <v>69</v>
      </c>
      <c r="E82" s="18" t="s">
        <v>382</v>
      </c>
      <c r="F82" s="18" t="s">
        <v>71</v>
      </c>
      <c r="G82" s="18" t="s">
        <v>107</v>
      </c>
      <c r="H82" s="13"/>
      <c r="I82" s="13"/>
      <c r="J82" s="13"/>
      <c r="K82" s="13"/>
      <c r="L82" s="13"/>
      <c r="M82" s="13"/>
      <c r="N82" s="13"/>
    </row>
    <row r="83" spans="1:14" ht="12.7" customHeight="1" x14ac:dyDescent="0.35">
      <c r="A83" s="2"/>
      <c r="B83" s="394" t="s">
        <v>72</v>
      </c>
      <c r="C83" s="3" t="s">
        <v>400</v>
      </c>
      <c r="D83" s="65">
        <v>4.79</v>
      </c>
      <c r="E83" s="65">
        <v>1.39</v>
      </c>
      <c r="F83" s="20">
        <v>0.05</v>
      </c>
      <c r="G83" s="20">
        <v>-7.7</v>
      </c>
      <c r="H83" s="53"/>
      <c r="I83" s="53"/>
      <c r="J83" s="53"/>
      <c r="K83" s="53"/>
      <c r="L83" s="53"/>
      <c r="M83" s="53"/>
      <c r="N83" s="53"/>
    </row>
    <row r="84" spans="1:14" x14ac:dyDescent="0.4">
      <c r="A84" s="2"/>
      <c r="B84" s="394"/>
      <c r="C84" s="3" t="s">
        <v>73</v>
      </c>
      <c r="D84" s="76" t="s">
        <v>84</v>
      </c>
      <c r="E84" s="76"/>
      <c r="F84" s="20"/>
      <c r="G84" s="20"/>
      <c r="H84" s="53"/>
      <c r="I84" s="53"/>
      <c r="J84" s="53"/>
      <c r="K84" s="53"/>
      <c r="L84" s="53"/>
      <c r="M84" s="53"/>
      <c r="N84" s="53"/>
    </row>
    <row r="85" spans="1:14" x14ac:dyDescent="0.4">
      <c r="A85" s="2"/>
      <c r="B85" s="394"/>
      <c r="C85" s="21" t="s">
        <v>401</v>
      </c>
      <c r="D85" s="76">
        <v>36.200000000000003</v>
      </c>
      <c r="E85" s="76">
        <v>1.93</v>
      </c>
      <c r="F85" s="20">
        <v>57.63</v>
      </c>
      <c r="G85" s="20">
        <v>30.04</v>
      </c>
      <c r="H85" s="53"/>
      <c r="I85" s="53"/>
      <c r="J85" s="53"/>
      <c r="K85" s="53"/>
      <c r="L85" s="53"/>
      <c r="M85" s="53"/>
      <c r="N85" s="53"/>
    </row>
    <row r="86" spans="1:14" x14ac:dyDescent="0.4">
      <c r="A86" s="2"/>
      <c r="B86" s="394"/>
      <c r="C86" s="21" t="s">
        <v>402</v>
      </c>
      <c r="D86" s="76">
        <v>26.3</v>
      </c>
      <c r="E86" s="76">
        <v>5</v>
      </c>
      <c r="F86" s="20">
        <v>41.06</v>
      </c>
      <c r="G86" s="20">
        <v>105.55</v>
      </c>
      <c r="H86" s="53"/>
      <c r="I86" s="53"/>
      <c r="J86" s="53"/>
      <c r="K86" s="53"/>
      <c r="L86" s="53"/>
      <c r="M86" s="53"/>
      <c r="N86" s="53"/>
    </row>
    <row r="87" spans="1:14" x14ac:dyDescent="0.4">
      <c r="A87" s="2"/>
      <c r="B87" s="394"/>
      <c r="C87" s="21" t="s">
        <v>403</v>
      </c>
      <c r="D87" s="76">
        <v>3.8</v>
      </c>
      <c r="E87" s="76">
        <v>4.29</v>
      </c>
      <c r="F87" s="20">
        <v>6.78</v>
      </c>
      <c r="G87" s="20">
        <v>4.1399999999999997</v>
      </c>
      <c r="H87" s="53"/>
      <c r="I87" s="53"/>
      <c r="J87" s="53"/>
      <c r="K87" s="53"/>
      <c r="L87" s="53"/>
      <c r="M87" s="53"/>
      <c r="N87" s="53"/>
    </row>
    <row r="88" spans="1:14" x14ac:dyDescent="0.4">
      <c r="A88" s="2"/>
      <c r="B88" s="394"/>
      <c r="C88" s="21" t="s">
        <v>404</v>
      </c>
      <c r="D88" s="76">
        <v>5.6</v>
      </c>
      <c r="E88" s="76">
        <v>9.2200000000000006</v>
      </c>
      <c r="F88" s="20">
        <v>0.75</v>
      </c>
      <c r="G88" s="20">
        <v>-2.31</v>
      </c>
      <c r="H88" s="53"/>
      <c r="I88" s="53"/>
      <c r="J88" s="53"/>
      <c r="K88" s="53"/>
      <c r="L88" s="53"/>
      <c r="M88" s="53"/>
      <c r="N88" s="53"/>
    </row>
    <row r="89" spans="1:14" x14ac:dyDescent="0.4">
      <c r="A89" s="2"/>
      <c r="B89" s="394"/>
      <c r="C89" s="3" t="s">
        <v>74</v>
      </c>
      <c r="D89" s="134">
        <f t="shared" ref="D89:E89" si="0">SUM(D85:D88)/4</f>
        <v>17.974999999999998</v>
      </c>
      <c r="E89" s="134">
        <f t="shared" si="0"/>
        <v>5.1099999999999994</v>
      </c>
      <c r="F89" s="134">
        <f>SUM(F85:F88)/4</f>
        <v>26.555</v>
      </c>
      <c r="G89" s="134">
        <f>SUM(G85:G88)/4</f>
        <v>34.354999999999997</v>
      </c>
      <c r="H89" s="53"/>
      <c r="I89" s="53"/>
      <c r="J89" s="53"/>
      <c r="K89" s="53"/>
      <c r="L89" s="53"/>
      <c r="M89" s="53"/>
      <c r="N89" s="53"/>
    </row>
    <row r="90" spans="1:14" x14ac:dyDescent="0.35">
      <c r="A90" s="2"/>
      <c r="B90" s="394" t="s">
        <v>75</v>
      </c>
      <c r="C90" s="3" t="s">
        <v>400</v>
      </c>
      <c r="D90" s="77">
        <v>8.77</v>
      </c>
      <c r="E90" s="77">
        <v>60.9</v>
      </c>
      <c r="F90" s="20">
        <f>I71/F83</f>
        <v>740</v>
      </c>
      <c r="G90" s="101">
        <f>L71/G83</f>
        <v>-0.83766233766233766</v>
      </c>
      <c r="H90" s="53"/>
      <c r="I90" s="53"/>
      <c r="J90" s="53"/>
      <c r="K90" s="53"/>
      <c r="L90" s="53"/>
      <c r="M90" s="53"/>
      <c r="N90" s="53"/>
    </row>
    <row r="91" spans="1:14" x14ac:dyDescent="0.4">
      <c r="A91" s="2"/>
      <c r="B91" s="394"/>
      <c r="C91" s="3" t="s">
        <v>73</v>
      </c>
      <c r="D91" s="76" t="s">
        <v>84</v>
      </c>
      <c r="E91" s="76"/>
      <c r="F91" s="20"/>
      <c r="G91" s="20"/>
      <c r="H91" s="53"/>
      <c r="I91" s="53"/>
      <c r="J91" s="53"/>
      <c r="K91" s="53"/>
      <c r="L91" s="53"/>
      <c r="M91" s="53"/>
      <c r="N91" s="53"/>
    </row>
    <row r="92" spans="1:14" x14ac:dyDescent="0.4">
      <c r="A92" s="2"/>
      <c r="B92" s="394"/>
      <c r="C92" s="21" t="s">
        <v>401</v>
      </c>
      <c r="D92" s="76">
        <v>21.8</v>
      </c>
      <c r="E92" s="76">
        <f>1144.2/E85</f>
        <v>592.84974093264248</v>
      </c>
      <c r="F92" s="101">
        <f>1573.1/F85</f>
        <v>27.296546937359011</v>
      </c>
      <c r="G92" s="101">
        <v>25.36</v>
      </c>
      <c r="H92" s="53"/>
      <c r="I92" s="53"/>
      <c r="J92" s="53"/>
      <c r="K92" s="53"/>
      <c r="L92" s="53"/>
      <c r="M92" s="53"/>
      <c r="N92" s="53"/>
    </row>
    <row r="93" spans="1:14" x14ac:dyDescent="0.4">
      <c r="A93" s="2"/>
      <c r="B93" s="394"/>
      <c r="C93" s="21" t="s">
        <v>402</v>
      </c>
      <c r="D93" s="76">
        <v>14</v>
      </c>
      <c r="E93" s="76">
        <f>605.35/E86</f>
        <v>121.07000000000001</v>
      </c>
      <c r="F93" s="101">
        <f>838.7/F86</f>
        <v>20.426205552849488</v>
      </c>
      <c r="G93" s="101">
        <v>11.41</v>
      </c>
      <c r="H93" s="53"/>
      <c r="I93" s="53"/>
      <c r="J93" s="53"/>
      <c r="K93" s="53"/>
      <c r="L93" s="53"/>
      <c r="M93" s="53"/>
      <c r="N93" s="53"/>
    </row>
    <row r="94" spans="1:14" x14ac:dyDescent="0.4">
      <c r="A94" s="2"/>
      <c r="B94" s="394"/>
      <c r="C94" s="21" t="s">
        <v>403</v>
      </c>
      <c r="D94" s="76">
        <v>17.71</v>
      </c>
      <c r="E94" s="76">
        <f>85.05/E87</f>
        <v>19.825174825174823</v>
      </c>
      <c r="F94" s="101">
        <f>94.1/F87</f>
        <v>13.879056047197638</v>
      </c>
      <c r="G94" s="101">
        <v>7.27</v>
      </c>
      <c r="H94" s="53"/>
      <c r="I94" s="53"/>
      <c r="J94" s="53"/>
      <c r="K94" s="53"/>
      <c r="L94" s="53"/>
      <c r="M94" s="53"/>
      <c r="N94" s="53"/>
    </row>
    <row r="95" spans="1:14" x14ac:dyDescent="0.4">
      <c r="A95" s="2"/>
      <c r="B95" s="394"/>
      <c r="C95" s="21" t="s">
        <v>404</v>
      </c>
      <c r="D95" s="76">
        <v>17.399999999999999</v>
      </c>
      <c r="E95" s="76">
        <f>71.05/E88</f>
        <v>7.7060737527114958</v>
      </c>
      <c r="F95" s="101">
        <f>23.4/F88</f>
        <v>31.2</v>
      </c>
      <c r="G95" s="101">
        <v>0</v>
      </c>
      <c r="H95" s="53"/>
      <c r="J95" s="53"/>
      <c r="K95" s="53"/>
      <c r="L95" s="53"/>
      <c r="M95" s="53"/>
      <c r="N95" s="53"/>
    </row>
    <row r="96" spans="1:14" x14ac:dyDescent="0.4">
      <c r="A96" s="2"/>
      <c r="B96" s="394"/>
      <c r="C96" s="3" t="s">
        <v>74</v>
      </c>
      <c r="D96" s="127">
        <f>SUM(D92:D95)/4</f>
        <v>17.727499999999999</v>
      </c>
      <c r="E96" s="127">
        <f>SUM(E92:E95)/4</f>
        <v>185.36274737763222</v>
      </c>
      <c r="F96" s="134">
        <f>SUM(F92:F95)/4</f>
        <v>23.200452134351533</v>
      </c>
      <c r="G96" s="134">
        <f>SUM(G92:G95)/4</f>
        <v>11.009999999999998</v>
      </c>
      <c r="H96" s="53"/>
      <c r="I96" s="53"/>
      <c r="J96" s="53"/>
      <c r="K96" s="53"/>
      <c r="L96" s="53"/>
      <c r="M96" s="53"/>
      <c r="N96" s="53"/>
    </row>
    <row r="97" spans="1:14" x14ac:dyDescent="0.35">
      <c r="A97" s="2"/>
      <c r="B97" s="394" t="s">
        <v>76</v>
      </c>
      <c r="C97" s="3" t="s">
        <v>400</v>
      </c>
      <c r="D97" s="65">
        <v>24.43</v>
      </c>
      <c r="E97" s="97">
        <v>6.4399999999999999E-2</v>
      </c>
      <c r="F97" s="101">
        <f>6.2/2748.75*100</f>
        <v>0.22555707139608913</v>
      </c>
      <c r="G97" s="101">
        <f>-983.88/1764.88*100</f>
        <v>-55.747699560310046</v>
      </c>
      <c r="H97" s="53"/>
      <c r="I97" s="53"/>
      <c r="J97" s="53"/>
      <c r="K97" s="53"/>
      <c r="L97" s="53"/>
      <c r="M97" s="53"/>
      <c r="N97" s="53"/>
    </row>
    <row r="98" spans="1:14" x14ac:dyDescent="0.4">
      <c r="A98" s="2"/>
      <c r="B98" s="394"/>
      <c r="C98" s="3" t="s">
        <v>73</v>
      </c>
      <c r="D98" s="76" t="s">
        <v>84</v>
      </c>
      <c r="E98" s="76"/>
      <c r="F98" s="20"/>
      <c r="G98" s="20"/>
      <c r="H98" s="53"/>
      <c r="I98" s="53"/>
      <c r="J98" s="53"/>
      <c r="K98" s="53"/>
      <c r="L98" s="53"/>
      <c r="M98" s="53"/>
      <c r="N98" s="53"/>
    </row>
    <row r="99" spans="1:14" x14ac:dyDescent="0.4">
      <c r="A99" s="2"/>
      <c r="B99" s="394"/>
      <c r="C99" s="21" t="s">
        <v>401</v>
      </c>
      <c r="D99" s="76">
        <v>25.52</v>
      </c>
      <c r="E99" s="133">
        <f>34613/151517*100</f>
        <v>22.844301299524144</v>
      </c>
      <c r="F99" s="101">
        <f>46930/268492*100</f>
        <v>17.479105522697139</v>
      </c>
      <c r="G99" s="101">
        <v>19.16</v>
      </c>
      <c r="H99" s="53"/>
      <c r="I99" s="53"/>
      <c r="J99" s="53"/>
      <c r="K99" s="53"/>
      <c r="L99" s="53"/>
      <c r="M99" s="53"/>
      <c r="N99" s="53"/>
    </row>
    <row r="100" spans="1:14" x14ac:dyDescent="0.4">
      <c r="A100" s="2"/>
      <c r="B100" s="394"/>
      <c r="C100" s="21" t="s">
        <v>402</v>
      </c>
      <c r="D100" s="76">
        <v>26.64</v>
      </c>
      <c r="E100" s="133">
        <f>6428.9/29715.35*100</f>
        <v>21.634946248319469</v>
      </c>
      <c r="F100" s="101">
        <f>8374.45/36499.3*100</f>
        <v>22.944138654713928</v>
      </c>
      <c r="G100" s="101">
        <v>47.91</v>
      </c>
      <c r="H100" s="53"/>
      <c r="I100" s="53"/>
      <c r="J100" s="53"/>
      <c r="K100" s="53"/>
      <c r="L100" s="53"/>
      <c r="M100" s="53"/>
      <c r="N100" s="53"/>
    </row>
    <row r="101" spans="1:14" x14ac:dyDescent="0.4">
      <c r="A101" s="2"/>
      <c r="B101" s="394"/>
      <c r="C101" s="21" t="s">
        <v>403</v>
      </c>
      <c r="D101" s="76">
        <v>18.54</v>
      </c>
      <c r="E101" s="133">
        <f>1470.07/7725.77*100</f>
        <v>19.02813570686158</v>
      </c>
      <c r="F101" s="101">
        <f>2273.95/9615.28*100</f>
        <v>23.649337304789871</v>
      </c>
      <c r="G101" s="101">
        <v>10.92</v>
      </c>
      <c r="H101" s="53"/>
      <c r="I101" s="53"/>
      <c r="J101" s="53"/>
      <c r="K101" s="53"/>
      <c r="L101" s="53"/>
      <c r="M101" s="53"/>
      <c r="N101" s="53"/>
    </row>
    <row r="102" spans="1:14" x14ac:dyDescent="0.4">
      <c r="A102" s="2"/>
      <c r="B102" s="394"/>
      <c r="C102" s="21" t="s">
        <v>404</v>
      </c>
      <c r="D102" s="76">
        <v>2.2000000000000002</v>
      </c>
      <c r="E102" s="133">
        <f>7794.24/56740.95*100</f>
        <v>13.736534196202212</v>
      </c>
      <c r="F102" s="101">
        <f>618.55/57262*100</f>
        <v>1.0802102616045544</v>
      </c>
      <c r="G102" s="101">
        <v>-3.65</v>
      </c>
      <c r="H102" s="53"/>
      <c r="I102" s="53"/>
      <c r="J102" s="53"/>
      <c r="K102" s="53"/>
      <c r="L102" s="53"/>
      <c r="M102" s="53"/>
      <c r="N102" s="53"/>
    </row>
    <row r="103" spans="1:14" x14ac:dyDescent="0.4">
      <c r="A103" s="2"/>
      <c r="B103" s="394"/>
      <c r="C103" s="3" t="s">
        <v>74</v>
      </c>
      <c r="D103" s="127">
        <f>SUM(D99:D102)/4</f>
        <v>18.224999999999998</v>
      </c>
      <c r="E103" s="127">
        <f t="shared" ref="E103:G103" si="1">SUM(E99:E102)/4</f>
        <v>19.310979362726851</v>
      </c>
      <c r="F103" s="127">
        <f t="shared" si="1"/>
        <v>16.28819793595137</v>
      </c>
      <c r="G103" s="127">
        <f t="shared" si="1"/>
        <v>18.584999999999997</v>
      </c>
      <c r="H103" s="53"/>
      <c r="I103" s="53"/>
      <c r="J103" s="53"/>
      <c r="K103" s="57"/>
      <c r="L103" s="53"/>
      <c r="M103" s="53"/>
      <c r="N103" s="53"/>
    </row>
    <row r="104" spans="1:14" x14ac:dyDescent="0.35">
      <c r="A104" s="2"/>
      <c r="B104" s="394" t="s">
        <v>77</v>
      </c>
      <c r="C104" s="3" t="s">
        <v>400</v>
      </c>
      <c r="D104" s="65">
        <v>19.59</v>
      </c>
      <c r="E104" s="65">
        <v>21.45</v>
      </c>
      <c r="F104" s="101">
        <f>2748.75*100000/12782800</f>
        <v>21.503504709453328</v>
      </c>
      <c r="G104" s="101">
        <f>1764.88/127.828</f>
        <v>13.806677723190537</v>
      </c>
      <c r="H104" s="53"/>
      <c r="I104" s="53"/>
      <c r="J104" s="53"/>
      <c r="K104" s="53"/>
      <c r="L104" s="53"/>
      <c r="M104" s="53"/>
      <c r="N104" s="53"/>
    </row>
    <row r="105" spans="1:14" x14ac:dyDescent="0.4">
      <c r="A105" s="2"/>
      <c r="B105" s="394"/>
      <c r="C105" s="3" t="s">
        <v>73</v>
      </c>
      <c r="D105" s="76" t="s">
        <v>84</v>
      </c>
      <c r="E105" s="76"/>
      <c r="F105" s="20"/>
      <c r="G105" s="20"/>
      <c r="H105" s="53"/>
      <c r="I105" s="53"/>
      <c r="J105" s="53"/>
      <c r="K105" s="53"/>
      <c r="L105" s="53"/>
      <c r="M105" s="53"/>
      <c r="N105" s="53"/>
    </row>
    <row r="106" spans="1:14" x14ac:dyDescent="0.4">
      <c r="A106" s="2"/>
      <c r="B106" s="411"/>
      <c r="C106" s="21" t="s">
        <v>401</v>
      </c>
      <c r="D106" s="76">
        <v>128.4</v>
      </c>
      <c r="E106" s="76">
        <f>151517/406.5</f>
        <v>372.73554735547356</v>
      </c>
      <c r="F106" s="101">
        <f>268492*100000/43330000</f>
        <v>619.64458804523429</v>
      </c>
      <c r="G106" s="101">
        <v>166.54</v>
      </c>
      <c r="H106" s="53"/>
      <c r="I106" s="53"/>
      <c r="J106" s="53"/>
      <c r="K106" s="53"/>
      <c r="L106" s="53"/>
      <c r="M106" s="53"/>
      <c r="N106" s="53"/>
    </row>
    <row r="107" spans="1:14" x14ac:dyDescent="0.4">
      <c r="A107" s="2"/>
      <c r="B107" s="411"/>
      <c r="C107" s="21" t="s">
        <v>402</v>
      </c>
      <c r="D107" s="76">
        <v>97.8</v>
      </c>
      <c r="E107" s="76">
        <f>29715.35/204.12</f>
        <v>145.57784636488338</v>
      </c>
      <c r="F107" s="101">
        <f>36499.5*100000/10206000</f>
        <v>357.62786596119929</v>
      </c>
      <c r="G107" s="101">
        <v>262.16000000000003</v>
      </c>
      <c r="H107" s="53"/>
      <c r="I107" s="53"/>
      <c r="J107" s="53"/>
      <c r="K107" s="53"/>
      <c r="L107" s="53"/>
      <c r="M107" s="53"/>
      <c r="N107" s="53"/>
    </row>
    <row r="108" spans="1:14" x14ac:dyDescent="0.4">
      <c r="A108" s="2"/>
      <c r="B108" s="411"/>
      <c r="C108" s="21" t="s">
        <v>403</v>
      </c>
      <c r="D108" s="76">
        <v>14.8</v>
      </c>
      <c r="E108" s="76">
        <f>7725.77/333.48</f>
        <v>23.167116468753747</v>
      </c>
      <c r="F108" s="101">
        <f>9615.28*100000/33348800</f>
        <v>28.832461737753686</v>
      </c>
      <c r="G108" s="101">
        <v>37.08</v>
      </c>
      <c r="H108" s="53"/>
      <c r="I108" s="53"/>
      <c r="J108" s="53"/>
      <c r="K108" s="53"/>
      <c r="L108" s="53"/>
      <c r="M108" s="53"/>
      <c r="N108" s="53"/>
    </row>
    <row r="109" spans="1:14" x14ac:dyDescent="0.4">
      <c r="A109" s="2"/>
      <c r="B109" s="411"/>
      <c r="C109" s="21" t="s">
        <v>404</v>
      </c>
      <c r="D109" s="76">
        <v>45.5</v>
      </c>
      <c r="E109" s="76">
        <f>56740.95/1650</f>
        <v>34.388454545454543</v>
      </c>
      <c r="F109" s="101">
        <f>57262*100000/16504800</f>
        <v>346.94149580728032</v>
      </c>
      <c r="G109" s="101">
        <v>62.22</v>
      </c>
      <c r="H109" s="53"/>
      <c r="I109" s="53"/>
      <c r="J109" s="53"/>
      <c r="K109" s="53"/>
      <c r="L109" s="53"/>
      <c r="M109" s="53"/>
      <c r="N109" s="53"/>
    </row>
    <row r="110" spans="1:14" x14ac:dyDescent="0.4">
      <c r="A110" s="2"/>
      <c r="B110" s="411"/>
      <c r="C110" s="3" t="s">
        <v>74</v>
      </c>
      <c r="D110" s="127">
        <v>61.22</v>
      </c>
      <c r="E110" s="127">
        <v>119.47</v>
      </c>
      <c r="F110" s="134">
        <f>SUM(F106:F109)/4</f>
        <v>338.2616028878669</v>
      </c>
      <c r="G110" s="134">
        <f>SUM(G106:G109)/4</f>
        <v>132</v>
      </c>
      <c r="H110" s="53"/>
      <c r="I110" s="53"/>
      <c r="J110" s="53"/>
      <c r="K110" s="53"/>
      <c r="L110" s="53"/>
      <c r="M110" s="53"/>
      <c r="N110" s="53"/>
    </row>
    <row r="111" spans="1:14" s="1" customFormat="1" x14ac:dyDescent="0.4">
      <c r="B111" s="412"/>
      <c r="C111" s="413"/>
      <c r="D111" s="413"/>
      <c r="E111" s="413"/>
      <c r="F111" s="413"/>
      <c r="G111" s="414"/>
    </row>
    <row r="112" spans="1:14" ht="12.7" customHeight="1" x14ac:dyDescent="0.4">
      <c r="A112" s="2"/>
      <c r="B112" s="415" t="s">
        <v>405</v>
      </c>
      <c r="C112" s="416"/>
      <c r="D112" s="416"/>
      <c r="E112" s="416"/>
      <c r="F112" s="416"/>
      <c r="G112" s="417"/>
      <c r="H112" s="53"/>
      <c r="I112" s="53"/>
      <c r="J112" s="53"/>
      <c r="K112" s="53"/>
      <c r="L112" s="53"/>
      <c r="M112" s="53"/>
      <c r="N112" s="53"/>
    </row>
    <row r="113" spans="1:14" ht="12.7" customHeight="1" x14ac:dyDescent="0.4">
      <c r="A113" s="2"/>
      <c r="B113" s="418" t="s">
        <v>85</v>
      </c>
      <c r="C113" s="419"/>
      <c r="D113" s="419"/>
      <c r="E113" s="419"/>
      <c r="F113" s="419"/>
      <c r="G113" s="420"/>
      <c r="H113" s="53"/>
      <c r="I113" s="53"/>
      <c r="J113" s="53"/>
      <c r="K113" s="53"/>
      <c r="L113" s="53"/>
      <c r="M113" s="53"/>
      <c r="N113" s="53"/>
    </row>
    <row r="114" spans="1:14" ht="12.7" customHeight="1" x14ac:dyDescent="0.4">
      <c r="A114" s="2"/>
      <c r="B114" s="363" t="s">
        <v>304</v>
      </c>
      <c r="C114" s="368"/>
      <c r="D114" s="368"/>
      <c r="E114" s="368"/>
      <c r="F114" s="368"/>
      <c r="G114" s="369"/>
      <c r="H114" s="53"/>
      <c r="I114" s="53"/>
      <c r="J114" s="53"/>
      <c r="K114" s="53"/>
      <c r="L114" s="53"/>
      <c r="M114" s="53"/>
      <c r="N114" s="53"/>
    </row>
    <row r="115" spans="1:14" x14ac:dyDescent="0.4">
      <c r="C115" s="407"/>
      <c r="D115" s="407"/>
      <c r="E115" s="407"/>
      <c r="F115" s="407"/>
      <c r="G115" s="407"/>
      <c r="H115" s="53"/>
      <c r="I115" s="53"/>
    </row>
    <row r="116" spans="1:14" x14ac:dyDescent="0.4">
      <c r="A116" s="9">
        <v>14</v>
      </c>
      <c r="B116" s="61" t="s">
        <v>78</v>
      </c>
      <c r="C116" s="356" t="s">
        <v>41</v>
      </c>
      <c r="D116" s="357"/>
      <c r="E116" s="357"/>
      <c r="F116" s="357"/>
      <c r="G116" s="408"/>
    </row>
    <row r="117" spans="1:14" x14ac:dyDescent="0.4">
      <c r="A117" s="23"/>
      <c r="C117" s="69"/>
      <c r="D117" s="69"/>
      <c r="E117" s="69"/>
      <c r="F117" s="69"/>
      <c r="G117" s="69"/>
    </row>
    <row r="118" spans="1:14" ht="12.7" customHeight="1" x14ac:dyDescent="0.4">
      <c r="B118" s="409" t="s">
        <v>406</v>
      </c>
      <c r="C118" s="410"/>
      <c r="D118" s="410"/>
      <c r="E118" s="410"/>
      <c r="F118" s="410"/>
      <c r="G118" s="410"/>
      <c r="H118" s="410"/>
    </row>
  </sheetData>
  <sheetProtection password="EB7F" sheet="1" objects="1" scenarios="1"/>
  <mergeCells count="60">
    <mergeCell ref="B80:G80"/>
    <mergeCell ref="B83:B89"/>
    <mergeCell ref="B90:B96"/>
    <mergeCell ref="B118:H118"/>
    <mergeCell ref="B111:G111"/>
    <mergeCell ref="B112:G112"/>
    <mergeCell ref="B113:G113"/>
    <mergeCell ref="B114:G114"/>
    <mergeCell ref="C115:G115"/>
    <mergeCell ref="C116:G116"/>
    <mergeCell ref="B97:B103"/>
    <mergeCell ref="B104:B110"/>
    <mergeCell ref="I69:K69"/>
    <mergeCell ref="L69:N69"/>
    <mergeCell ref="B73:N73"/>
    <mergeCell ref="B74:N74"/>
    <mergeCell ref="B75:N75"/>
    <mergeCell ref="B69:B70"/>
    <mergeCell ref="C69:C70"/>
    <mergeCell ref="D69:D70"/>
    <mergeCell ref="E69:E70"/>
    <mergeCell ref="F69:H69"/>
    <mergeCell ref="B77:N77"/>
    <mergeCell ref="B78:N78"/>
    <mergeCell ref="B60:E60"/>
    <mergeCell ref="C45:E45"/>
    <mergeCell ref="B46:E46"/>
    <mergeCell ref="B48:E48"/>
    <mergeCell ref="B51:E51"/>
    <mergeCell ref="B52:E52"/>
    <mergeCell ref="B54:E54"/>
    <mergeCell ref="B55:B56"/>
    <mergeCell ref="C55:E56"/>
    <mergeCell ref="C57:E57"/>
    <mergeCell ref="C58:E58"/>
    <mergeCell ref="B59:E59"/>
    <mergeCell ref="B76:N76"/>
    <mergeCell ref="C63:E63"/>
    <mergeCell ref="C44:E44"/>
    <mergeCell ref="C22:E22"/>
    <mergeCell ref="B23:E23"/>
    <mergeCell ref="B26:E26"/>
    <mergeCell ref="B27:E27"/>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paperSize="9" orientation="portrait"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21"/>
  <sheetViews>
    <sheetView workbookViewId="0">
      <selection activeCell="B75" sqref="B75:N75"/>
    </sheetView>
  </sheetViews>
  <sheetFormatPr defaultColWidth="8.84375" defaultRowHeight="13.25" x14ac:dyDescent="0.4"/>
  <cols>
    <col min="1" max="1" width="8.84375" style="8"/>
    <col min="2"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407</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408</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409</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367</v>
      </c>
      <c r="C19" s="367" t="s">
        <v>13</v>
      </c>
      <c r="D19" s="367"/>
      <c r="E19" s="367"/>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12.7"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ht="12.7" customHeight="1" x14ac:dyDescent="0.4">
      <c r="A29" s="9"/>
      <c r="B29" s="19" t="s">
        <v>24</v>
      </c>
      <c r="C29" s="20">
        <v>24272.42</v>
      </c>
      <c r="D29" s="20">
        <v>25962.31</v>
      </c>
      <c r="E29" s="20">
        <v>26516.81</v>
      </c>
      <c r="F29" s="15"/>
    </row>
    <row r="30" spans="1:14" x14ac:dyDescent="0.4">
      <c r="A30" s="9"/>
      <c r="B30" s="19" t="s">
        <v>25</v>
      </c>
      <c r="C30" s="20">
        <v>330.35</v>
      </c>
      <c r="D30" s="20">
        <v>373.95</v>
      </c>
      <c r="E30" s="20">
        <v>445.2</v>
      </c>
      <c r="F30" s="15"/>
    </row>
    <row r="31" spans="1:14" x14ac:dyDescent="0.4">
      <c r="A31" s="9"/>
      <c r="B31" s="19" t="s">
        <v>26</v>
      </c>
      <c r="C31" s="20">
        <v>1007.61</v>
      </c>
      <c r="D31" s="20">
        <v>1007.61</v>
      </c>
      <c r="E31" s="20">
        <v>1007.61</v>
      </c>
      <c r="F31" s="15"/>
    </row>
    <row r="32" spans="1:14" x14ac:dyDescent="0.4">
      <c r="A32" s="9"/>
      <c r="B32" s="19" t="s">
        <v>27</v>
      </c>
      <c r="C32" s="20">
        <v>1635.21</v>
      </c>
      <c r="D32" s="20">
        <v>2856.22</v>
      </c>
      <c r="E32" s="20">
        <v>3300.44</v>
      </c>
      <c r="F32" s="15"/>
    </row>
    <row r="33" spans="1:10" ht="12.7" customHeight="1" x14ac:dyDescent="0.4">
      <c r="A33" s="9"/>
      <c r="B33" s="363" t="s">
        <v>294</v>
      </c>
      <c r="C33" s="368"/>
      <c r="D33" s="368"/>
      <c r="E33" s="369"/>
      <c r="F33" s="15"/>
    </row>
    <row r="34" spans="1:10" x14ac:dyDescent="0.4">
      <c r="A34" s="9"/>
      <c r="B34" s="13"/>
      <c r="C34" s="15"/>
      <c r="D34" s="15"/>
      <c r="E34" s="15"/>
      <c r="F34" s="15"/>
    </row>
    <row r="35" spans="1:10" ht="12.7"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814</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446" t="s">
        <v>79</v>
      </c>
      <c r="D45" s="446"/>
      <c r="E45" s="446"/>
      <c r="F45" s="13"/>
    </row>
    <row r="46" spans="1:10" ht="12.7" customHeight="1" x14ac:dyDescent="0.4">
      <c r="A46" s="9"/>
      <c r="B46" s="363" t="s">
        <v>35</v>
      </c>
      <c r="C46" s="368"/>
      <c r="D46" s="368"/>
      <c r="E46" s="369"/>
      <c r="F46" s="13"/>
    </row>
    <row r="47" spans="1:10" x14ac:dyDescent="0.4">
      <c r="A47" s="2"/>
      <c r="D47" s="23"/>
      <c r="E47" s="13"/>
    </row>
    <row r="48" spans="1:10" ht="12.7" customHeight="1"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39.75" x14ac:dyDescent="0.4">
      <c r="A50" s="29"/>
      <c r="B50" s="78" t="s">
        <v>307</v>
      </c>
      <c r="C50" s="78" t="s">
        <v>410</v>
      </c>
      <c r="D50" s="28"/>
      <c r="E50" s="27"/>
    </row>
    <row r="51" spans="1:12" ht="12.7" customHeight="1" x14ac:dyDescent="0.4">
      <c r="A51" s="29"/>
      <c r="B51" s="363" t="s">
        <v>411</v>
      </c>
      <c r="C51" s="368"/>
      <c r="D51" s="368"/>
      <c r="E51" s="369"/>
    </row>
    <row r="52" spans="1:12" ht="12.7" customHeight="1" x14ac:dyDescent="0.4">
      <c r="A52" s="31"/>
      <c r="B52" s="380" t="s">
        <v>412</v>
      </c>
      <c r="C52" s="381"/>
      <c r="D52" s="381"/>
      <c r="E52" s="382"/>
      <c r="F52" s="15"/>
      <c r="G52" s="15"/>
      <c r="H52" s="15"/>
    </row>
    <row r="53" spans="1:12" x14ac:dyDescent="0.4">
      <c r="A53" s="32"/>
      <c r="B53" s="62"/>
      <c r="C53" s="23"/>
      <c r="D53" s="23"/>
      <c r="E53" s="23"/>
      <c r="F53" s="15"/>
      <c r="G53" s="15"/>
      <c r="H53" s="15"/>
      <c r="I53" s="15"/>
    </row>
    <row r="54" spans="1:12" ht="12.7" customHeight="1" x14ac:dyDescent="0.4">
      <c r="A54" s="24">
        <v>10</v>
      </c>
      <c r="B54" s="376" t="s">
        <v>36</v>
      </c>
      <c r="C54" s="365"/>
      <c r="D54" s="365"/>
      <c r="E54" s="365"/>
      <c r="F54" s="15"/>
      <c r="G54" s="15"/>
      <c r="H54" s="15"/>
    </row>
    <row r="55" spans="1:12" ht="12.7" customHeight="1" x14ac:dyDescent="0.4">
      <c r="A55" s="29"/>
      <c r="B55" s="383" t="s">
        <v>43</v>
      </c>
      <c r="C55" s="385" t="s">
        <v>413</v>
      </c>
      <c r="D55" s="386"/>
      <c r="E55" s="387"/>
      <c r="K55" s="1"/>
    </row>
    <row r="56" spans="1:12" x14ac:dyDescent="0.4">
      <c r="A56" s="29"/>
      <c r="B56" s="384"/>
      <c r="C56" s="388"/>
      <c r="D56" s="389"/>
      <c r="E56" s="390"/>
      <c r="K56" s="1"/>
    </row>
    <row r="57" spans="1:12" x14ac:dyDescent="0.4">
      <c r="A57" s="24"/>
      <c r="B57" s="33" t="s">
        <v>44</v>
      </c>
      <c r="C57" s="391" t="s">
        <v>186</v>
      </c>
      <c r="D57" s="391"/>
      <c r="E57" s="391"/>
    </row>
    <row r="58" spans="1:12" x14ac:dyDescent="0.4">
      <c r="A58" s="29"/>
      <c r="B58" s="33" t="s">
        <v>45</v>
      </c>
      <c r="C58" s="391" t="s">
        <v>46</v>
      </c>
      <c r="D58" s="391"/>
      <c r="E58" s="391"/>
      <c r="K58" s="34"/>
    </row>
    <row r="59" spans="1:12" ht="12.7" customHeight="1" x14ac:dyDescent="0.4">
      <c r="A59" s="29"/>
      <c r="B59" s="380" t="s">
        <v>412</v>
      </c>
      <c r="C59" s="381"/>
      <c r="D59" s="381"/>
      <c r="E59" s="382"/>
      <c r="K59" s="34"/>
    </row>
    <row r="60" spans="1:12" s="63" customFormat="1" x14ac:dyDescent="0.35">
      <c r="A60" s="35" t="s">
        <v>47</v>
      </c>
      <c r="B60" s="392" t="s">
        <v>48</v>
      </c>
      <c r="C60" s="392"/>
      <c r="D60" s="392"/>
      <c r="E60" s="392"/>
    </row>
    <row r="61" spans="1:12" ht="12.7" customHeight="1" x14ac:dyDescent="0.4">
      <c r="A61" s="36"/>
      <c r="B61" s="363" t="s">
        <v>411</v>
      </c>
      <c r="C61" s="368"/>
      <c r="D61" s="368"/>
      <c r="E61" s="369"/>
      <c r="F61" s="34"/>
      <c r="G61" s="34"/>
      <c r="H61" s="34"/>
      <c r="I61" s="34"/>
      <c r="J61" s="34"/>
      <c r="K61" s="34"/>
      <c r="L61" s="34"/>
    </row>
    <row r="62" spans="1:12" x14ac:dyDescent="0.4">
      <c r="A62" s="40"/>
      <c r="B62" s="41"/>
      <c r="C62" s="42"/>
      <c r="D62" s="42"/>
      <c r="E62" s="42"/>
      <c r="F62" s="42"/>
    </row>
    <row r="63" spans="1:12" ht="12.7" customHeight="1"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414</v>
      </c>
      <c r="D67" s="15"/>
      <c r="E67" s="44"/>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ht="12.7" customHeight="1" x14ac:dyDescent="0.4">
      <c r="A69" s="9"/>
      <c r="B69" s="365" t="s">
        <v>53</v>
      </c>
      <c r="C69" s="366" t="s">
        <v>415</v>
      </c>
      <c r="D69" s="366" t="s">
        <v>271</v>
      </c>
      <c r="E69" s="403" t="s">
        <v>232</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51</v>
      </c>
      <c r="D71" s="46">
        <v>52</v>
      </c>
      <c r="E71" s="46">
        <v>47</v>
      </c>
      <c r="F71" s="46">
        <v>45</v>
      </c>
      <c r="G71" s="46">
        <v>60.6</v>
      </c>
      <c r="H71" s="45">
        <v>40.1</v>
      </c>
      <c r="I71" s="45">
        <v>34.65</v>
      </c>
      <c r="J71" s="45">
        <v>52</v>
      </c>
      <c r="K71" s="45">
        <v>23.65</v>
      </c>
      <c r="L71" s="45">
        <v>26</v>
      </c>
      <c r="M71" s="45">
        <v>40.799999999999997</v>
      </c>
      <c r="N71" s="45">
        <v>18</v>
      </c>
    </row>
    <row r="72" spans="1:14" ht="25.65" x14ac:dyDescent="0.35">
      <c r="A72" s="2"/>
      <c r="B72" s="17" t="s">
        <v>104</v>
      </c>
      <c r="C72" s="45">
        <v>9574.9500000000007</v>
      </c>
      <c r="D72" s="45">
        <v>9966.4</v>
      </c>
      <c r="E72" s="45">
        <v>10121.9</v>
      </c>
      <c r="F72" s="46">
        <v>10113.700000000001</v>
      </c>
      <c r="G72" s="46">
        <v>11171.55</v>
      </c>
      <c r="H72" s="48">
        <v>9075.15</v>
      </c>
      <c r="I72" s="45">
        <v>11623.9</v>
      </c>
      <c r="J72" s="45">
        <v>11760.2</v>
      </c>
      <c r="K72" s="45">
        <v>10004.549999999999</v>
      </c>
      <c r="L72" s="45">
        <v>8597.75</v>
      </c>
      <c r="M72" s="45">
        <v>12430.5</v>
      </c>
      <c r="N72" s="45">
        <v>7511.1</v>
      </c>
    </row>
    <row r="73" spans="1:14" x14ac:dyDescent="0.4">
      <c r="A73" s="2"/>
      <c r="B73" s="401" t="s">
        <v>94</v>
      </c>
      <c r="C73" s="401"/>
      <c r="D73" s="401"/>
      <c r="E73" s="401"/>
      <c r="F73" s="401"/>
      <c r="G73" s="401"/>
      <c r="H73" s="401"/>
      <c r="I73" s="401"/>
      <c r="J73" s="401"/>
      <c r="K73" s="401"/>
      <c r="L73" s="401"/>
      <c r="M73" s="401"/>
      <c r="N73" s="401"/>
    </row>
    <row r="74" spans="1:14" ht="12.7" customHeight="1" x14ac:dyDescent="0.4">
      <c r="A74" s="2"/>
      <c r="B74" s="359" t="s">
        <v>63</v>
      </c>
      <c r="C74" s="359"/>
      <c r="D74" s="359"/>
      <c r="E74" s="359"/>
      <c r="F74" s="359"/>
      <c r="G74" s="359"/>
      <c r="H74" s="359"/>
      <c r="I74" s="359"/>
      <c r="J74" s="359"/>
      <c r="K74" s="359"/>
      <c r="L74" s="359"/>
      <c r="M74" s="359"/>
      <c r="N74" s="359"/>
    </row>
    <row r="75" spans="1:14" s="1" customFormat="1" ht="12.7" customHeight="1" x14ac:dyDescent="0.4">
      <c r="B75" s="359" t="s">
        <v>64</v>
      </c>
      <c r="C75" s="359"/>
      <c r="D75" s="359"/>
      <c r="E75" s="359"/>
      <c r="F75" s="359"/>
      <c r="G75" s="359"/>
      <c r="H75" s="359"/>
      <c r="I75" s="359"/>
      <c r="J75" s="359"/>
      <c r="K75" s="359"/>
      <c r="L75" s="359"/>
      <c r="M75" s="359"/>
      <c r="N75" s="359"/>
    </row>
    <row r="76" spans="1:14" ht="12.7" customHeight="1" x14ac:dyDescent="0.4">
      <c r="A76" s="2"/>
      <c r="B76" s="359" t="s">
        <v>358</v>
      </c>
      <c r="C76" s="359"/>
      <c r="D76" s="359"/>
      <c r="E76" s="359"/>
      <c r="F76" s="359"/>
      <c r="G76" s="359"/>
      <c r="H76" s="359"/>
      <c r="I76" s="359"/>
      <c r="J76" s="359"/>
      <c r="K76" s="359"/>
      <c r="L76" s="359"/>
      <c r="M76" s="359"/>
      <c r="N76" s="359"/>
    </row>
    <row r="77" spans="1:14" ht="12.7" customHeight="1" x14ac:dyDescent="0.4">
      <c r="A77" s="2"/>
      <c r="B77" s="359" t="s">
        <v>65</v>
      </c>
      <c r="C77" s="359"/>
      <c r="D77" s="359"/>
      <c r="E77" s="359"/>
      <c r="F77" s="359"/>
      <c r="G77" s="359"/>
      <c r="H77" s="359"/>
      <c r="I77" s="359"/>
      <c r="J77" s="359"/>
      <c r="K77" s="359"/>
      <c r="L77" s="359"/>
      <c r="M77" s="359"/>
      <c r="N77" s="359"/>
    </row>
    <row r="78" spans="1:14" x14ac:dyDescent="0.4">
      <c r="A78" s="2"/>
      <c r="B78" s="49"/>
      <c r="C78" s="49"/>
      <c r="D78" s="49"/>
      <c r="E78" s="49"/>
      <c r="F78" s="49"/>
      <c r="G78" s="13"/>
      <c r="H78" s="13"/>
      <c r="I78" s="13"/>
      <c r="J78" s="13"/>
      <c r="K78" s="13"/>
      <c r="L78" s="13"/>
      <c r="M78" s="13"/>
      <c r="N78" s="13"/>
    </row>
    <row r="79" spans="1:14" ht="12.7" customHeight="1" x14ac:dyDescent="0.4">
      <c r="A79" s="9">
        <v>13</v>
      </c>
      <c r="B79" s="405" t="s">
        <v>66</v>
      </c>
      <c r="C79" s="406"/>
      <c r="D79" s="406"/>
      <c r="E79" s="406"/>
      <c r="F79" s="406"/>
      <c r="G79" s="376"/>
      <c r="H79" s="11"/>
      <c r="I79" s="11"/>
      <c r="J79" s="11"/>
      <c r="K79" s="11"/>
      <c r="L79" s="11"/>
      <c r="M79" s="11"/>
      <c r="N79" s="11"/>
    </row>
    <row r="80" spans="1:14" x14ac:dyDescent="0.4">
      <c r="A80" s="9"/>
      <c r="C80" s="15"/>
      <c r="D80" s="15"/>
      <c r="E80" s="15"/>
      <c r="F80" s="15"/>
      <c r="G80" s="15"/>
      <c r="H80" s="15"/>
      <c r="I80" s="15"/>
      <c r="J80" s="15"/>
      <c r="K80" s="15"/>
      <c r="L80" s="15"/>
      <c r="M80" s="15"/>
      <c r="N80" s="15"/>
    </row>
    <row r="81" spans="1:14" ht="102.5" x14ac:dyDescent="0.4">
      <c r="A81" s="2"/>
      <c r="B81" s="50" t="s">
        <v>67</v>
      </c>
      <c r="C81" s="18" t="s">
        <v>68</v>
      </c>
      <c r="D81" s="18" t="s">
        <v>69</v>
      </c>
      <c r="E81" s="18" t="s">
        <v>382</v>
      </c>
      <c r="F81" s="18" t="s">
        <v>71</v>
      </c>
      <c r="G81" s="18" t="s">
        <v>107</v>
      </c>
      <c r="H81" s="13"/>
      <c r="I81" s="13"/>
      <c r="J81" s="13"/>
      <c r="K81" s="13"/>
      <c r="L81" s="13"/>
      <c r="M81" s="13"/>
      <c r="N81" s="13"/>
    </row>
    <row r="82" spans="1:14" ht="12.7" customHeight="1" x14ac:dyDescent="0.35">
      <c r="A82" s="2"/>
      <c r="B82" s="394" t="s">
        <v>72</v>
      </c>
      <c r="C82" s="3" t="s">
        <v>416</v>
      </c>
      <c r="D82" s="65">
        <v>3.73</v>
      </c>
      <c r="E82" s="135">
        <v>3.39</v>
      </c>
      <c r="F82" s="101">
        <v>3.71</v>
      </c>
      <c r="G82" s="101">
        <v>4.41</v>
      </c>
      <c r="H82" s="53"/>
      <c r="I82" s="53"/>
      <c r="J82" s="53"/>
      <c r="K82" s="53"/>
      <c r="L82" s="53"/>
      <c r="M82" s="53"/>
      <c r="N82" s="53"/>
    </row>
    <row r="83" spans="1:14" x14ac:dyDescent="0.4">
      <c r="A83" s="2"/>
      <c r="B83" s="394"/>
      <c r="C83" s="3" t="s">
        <v>73</v>
      </c>
      <c r="D83" s="76" t="s">
        <v>84</v>
      </c>
      <c r="E83" s="136"/>
      <c r="F83" s="20"/>
      <c r="G83" s="20"/>
      <c r="H83" s="53"/>
      <c r="I83" s="53"/>
      <c r="J83" s="53"/>
      <c r="K83" s="53"/>
      <c r="L83" s="53"/>
      <c r="M83" s="53"/>
      <c r="N83" s="53"/>
    </row>
    <row r="84" spans="1:14" ht="26.5" x14ac:dyDescent="0.4">
      <c r="A84" s="2"/>
      <c r="B84" s="394"/>
      <c r="C84" s="21" t="s">
        <v>417</v>
      </c>
      <c r="D84" s="76">
        <v>7.82</v>
      </c>
      <c r="E84" s="136">
        <v>29.31</v>
      </c>
      <c r="F84" s="20" t="s">
        <v>84</v>
      </c>
      <c r="G84" s="20" t="s">
        <v>815</v>
      </c>
      <c r="H84" s="53"/>
      <c r="I84" s="53"/>
      <c r="J84" s="53"/>
      <c r="K84" s="53"/>
      <c r="L84" s="53"/>
      <c r="M84" s="53"/>
      <c r="N84" s="53"/>
    </row>
    <row r="85" spans="1:14" x14ac:dyDescent="0.4">
      <c r="A85" s="2"/>
      <c r="B85" s="394"/>
      <c r="C85" s="21" t="s">
        <v>418</v>
      </c>
      <c r="D85" s="76">
        <v>3.36</v>
      </c>
      <c r="E85" s="136">
        <v>98.51</v>
      </c>
      <c r="F85" s="20">
        <v>8.15</v>
      </c>
      <c r="G85" s="20">
        <v>7.96</v>
      </c>
      <c r="H85" s="53"/>
      <c r="I85" s="53"/>
      <c r="J85" s="53"/>
      <c r="K85" s="53"/>
      <c r="L85" s="53"/>
      <c r="M85" s="53"/>
      <c r="N85" s="53"/>
    </row>
    <row r="86" spans="1:14" x14ac:dyDescent="0.4">
      <c r="A86" s="2"/>
      <c r="B86" s="394"/>
      <c r="C86" s="21" t="s">
        <v>419</v>
      </c>
      <c r="D86" s="76">
        <v>69.19</v>
      </c>
      <c r="E86" s="136">
        <v>59.38</v>
      </c>
      <c r="F86" s="20">
        <v>65.17</v>
      </c>
      <c r="G86" s="20">
        <v>59.24</v>
      </c>
      <c r="H86" s="53"/>
      <c r="I86" s="53"/>
      <c r="J86" s="53"/>
      <c r="K86" s="53"/>
      <c r="L86" s="53"/>
      <c r="M86" s="53"/>
      <c r="N86" s="53"/>
    </row>
    <row r="87" spans="1:14" x14ac:dyDescent="0.4">
      <c r="A87" s="2"/>
      <c r="B87" s="394"/>
      <c r="C87" s="21" t="s">
        <v>420</v>
      </c>
      <c r="D87" s="76">
        <v>1.21</v>
      </c>
      <c r="E87" s="136">
        <v>2.59</v>
      </c>
      <c r="F87" s="20">
        <v>3.15</v>
      </c>
      <c r="G87" s="20">
        <v>0.15</v>
      </c>
      <c r="H87" s="53"/>
      <c r="I87" s="53"/>
      <c r="J87" s="53"/>
      <c r="K87" s="53"/>
      <c r="L87" s="53"/>
      <c r="M87" s="53"/>
      <c r="N87" s="53"/>
    </row>
    <row r="88" spans="1:14" x14ac:dyDescent="0.4">
      <c r="A88" s="2"/>
      <c r="B88" s="394"/>
      <c r="C88" s="21" t="s">
        <v>421</v>
      </c>
      <c r="D88" s="76">
        <v>22.45</v>
      </c>
      <c r="E88" s="136">
        <v>19</v>
      </c>
      <c r="F88" s="20">
        <v>27.25</v>
      </c>
      <c r="G88" s="20">
        <v>17.14</v>
      </c>
      <c r="H88" s="53"/>
      <c r="I88" s="53"/>
      <c r="J88" s="53"/>
      <c r="K88" s="53"/>
      <c r="L88" s="53"/>
      <c r="M88" s="53"/>
      <c r="N88" s="53"/>
    </row>
    <row r="89" spans="1:14" x14ac:dyDescent="0.4">
      <c r="A89" s="2"/>
      <c r="B89" s="394"/>
      <c r="C89" s="3" t="s">
        <v>74</v>
      </c>
      <c r="D89" s="141">
        <f>SUM(D84:D88)/5</f>
        <v>20.806000000000001</v>
      </c>
      <c r="E89" s="141">
        <f t="shared" ref="E89:F89" si="0">SUM(E84:E88)/5</f>
        <v>41.758000000000003</v>
      </c>
      <c r="F89" s="141">
        <f t="shared" si="0"/>
        <v>20.744000000000003</v>
      </c>
      <c r="G89" s="141"/>
      <c r="H89" s="53"/>
      <c r="I89" s="53"/>
      <c r="J89" s="53"/>
      <c r="K89" s="53"/>
      <c r="L89" s="53"/>
      <c r="M89" s="53"/>
      <c r="N89" s="53"/>
    </row>
    <row r="90" spans="1:14" x14ac:dyDescent="0.35">
      <c r="A90" s="2"/>
      <c r="B90" s="394" t="s">
        <v>75</v>
      </c>
      <c r="C90" s="3" t="s">
        <v>416</v>
      </c>
      <c r="D90" s="77">
        <v>13.67</v>
      </c>
      <c r="E90" s="137">
        <f>F71/E82</f>
        <v>13.274336283185841</v>
      </c>
      <c r="F90" s="101">
        <f>I71/F82</f>
        <v>9.3396226415094343</v>
      </c>
      <c r="G90" s="101">
        <f>L71/G82</f>
        <v>5.895691609977324</v>
      </c>
      <c r="H90" s="53"/>
      <c r="I90" s="53"/>
      <c r="J90" s="53"/>
      <c r="K90" s="53"/>
      <c r="L90" s="53"/>
      <c r="M90" s="53"/>
      <c r="N90" s="53"/>
    </row>
    <row r="91" spans="1:14" x14ac:dyDescent="0.4">
      <c r="A91" s="2"/>
      <c r="B91" s="394"/>
      <c r="C91" s="3" t="s">
        <v>73</v>
      </c>
      <c r="D91" s="76" t="s">
        <v>84</v>
      </c>
      <c r="E91" s="136"/>
      <c r="F91" s="20"/>
      <c r="G91" s="20"/>
      <c r="H91" s="53"/>
      <c r="I91" s="53"/>
      <c r="J91" s="53"/>
      <c r="K91" s="53"/>
      <c r="L91" s="53"/>
      <c r="M91" s="53"/>
      <c r="N91" s="53"/>
    </row>
    <row r="92" spans="1:14" x14ac:dyDescent="0.4">
      <c r="A92" s="2"/>
      <c r="B92" s="394"/>
      <c r="C92" s="21" t="s">
        <v>417</v>
      </c>
      <c r="D92" s="76">
        <v>51.59</v>
      </c>
      <c r="E92" s="136">
        <f>450.25/E84</f>
        <v>15.361651313544867</v>
      </c>
      <c r="F92" s="20" t="s">
        <v>84</v>
      </c>
      <c r="G92" s="20"/>
      <c r="H92" s="53"/>
      <c r="I92" s="53"/>
      <c r="J92" s="53"/>
      <c r="K92" s="53"/>
      <c r="L92" s="53"/>
      <c r="M92" s="53"/>
      <c r="N92" s="53"/>
    </row>
    <row r="93" spans="1:14" x14ac:dyDescent="0.4">
      <c r="A93" s="2"/>
      <c r="B93" s="394"/>
      <c r="C93" s="21" t="s">
        <v>418</v>
      </c>
      <c r="D93" s="76">
        <v>35.74</v>
      </c>
      <c r="E93" s="136">
        <f>182.25/E85</f>
        <v>1.8500659831489188</v>
      </c>
      <c r="F93" s="101">
        <f>135.2/F85</f>
        <v>16.588957055214721</v>
      </c>
      <c r="G93" s="101">
        <v>12.94</v>
      </c>
      <c r="H93" s="53"/>
      <c r="I93" s="53"/>
      <c r="J93" s="53"/>
      <c r="K93" s="53"/>
      <c r="L93" s="53"/>
      <c r="M93" s="53"/>
      <c r="N93" s="53"/>
    </row>
    <row r="94" spans="1:14" x14ac:dyDescent="0.4">
      <c r="A94" s="2"/>
      <c r="B94" s="394"/>
      <c r="C94" s="21" t="s">
        <v>419</v>
      </c>
      <c r="D94" s="76">
        <v>24.79</v>
      </c>
      <c r="E94" s="136">
        <f>1521.55/E86</f>
        <v>25.623947457056246</v>
      </c>
      <c r="F94" s="101">
        <f>1280/F86</f>
        <v>19.640939082399878</v>
      </c>
      <c r="G94" s="101">
        <v>10.65</v>
      </c>
      <c r="H94" s="53"/>
      <c r="I94" s="53"/>
      <c r="J94" s="53"/>
      <c r="K94" s="53"/>
      <c r="L94" s="53"/>
      <c r="M94" s="53"/>
      <c r="N94" s="53"/>
    </row>
    <row r="95" spans="1:14" x14ac:dyDescent="0.4">
      <c r="A95" s="2"/>
      <c r="B95" s="394"/>
      <c r="C95" s="21" t="s">
        <v>420</v>
      </c>
      <c r="D95" s="76">
        <v>49.68</v>
      </c>
      <c r="E95" s="136">
        <f>112/E87</f>
        <v>43.243243243243242</v>
      </c>
      <c r="F95" s="101">
        <f>56.75/F87</f>
        <v>18.015873015873016</v>
      </c>
      <c r="G95" s="101">
        <v>301.49</v>
      </c>
      <c r="H95" s="53"/>
      <c r="I95" s="53"/>
      <c r="J95" s="53"/>
      <c r="K95" s="53"/>
      <c r="L95" s="53"/>
      <c r="M95" s="53"/>
      <c r="N95" s="53"/>
    </row>
    <row r="96" spans="1:14" x14ac:dyDescent="0.4">
      <c r="A96" s="2"/>
      <c r="B96" s="394"/>
      <c r="C96" s="21" t="s">
        <v>421</v>
      </c>
      <c r="D96" s="76">
        <v>18.54</v>
      </c>
      <c r="E96" s="136">
        <f>331/E88</f>
        <v>17.421052631578949</v>
      </c>
      <c r="F96" s="101">
        <f>320.1/F88</f>
        <v>11.746788990825689</v>
      </c>
      <c r="G96" s="101">
        <v>3.62</v>
      </c>
      <c r="H96" s="53"/>
      <c r="I96" s="53"/>
      <c r="J96" s="53"/>
      <c r="K96" s="53"/>
      <c r="L96" s="53"/>
      <c r="M96" s="53"/>
      <c r="N96" s="53"/>
    </row>
    <row r="97" spans="1:14" x14ac:dyDescent="0.4">
      <c r="A97" s="2"/>
      <c r="B97" s="394"/>
      <c r="C97" s="3" t="s">
        <v>74</v>
      </c>
      <c r="D97" s="127">
        <f>SUM(D92:D96)/5</f>
        <v>36.067999999999998</v>
      </c>
      <c r="E97" s="127">
        <f t="shared" ref="E97:F97" si="1">SUM(E92:E96)/5</f>
        <v>20.699992125714445</v>
      </c>
      <c r="F97" s="127">
        <f t="shared" si="1"/>
        <v>13.198511628862661</v>
      </c>
      <c r="G97" s="127"/>
      <c r="H97" s="53"/>
      <c r="I97" s="53"/>
      <c r="J97" s="53"/>
      <c r="K97" s="53"/>
      <c r="L97" s="53"/>
      <c r="M97" s="53"/>
      <c r="N97" s="53"/>
    </row>
    <row r="98" spans="1:14" x14ac:dyDescent="0.35">
      <c r="A98" s="2"/>
      <c r="B98" s="394" t="s">
        <v>76</v>
      </c>
      <c r="C98" s="3" t="s">
        <v>416</v>
      </c>
      <c r="D98" s="65">
        <v>13.06</v>
      </c>
      <c r="E98" s="137">
        <f>330.35/3489.88*100</f>
        <v>9.4659415223446075</v>
      </c>
      <c r="F98" s="101">
        <f>373.95/3863.83*100</f>
        <v>9.6782208326970895</v>
      </c>
      <c r="G98" s="101">
        <f>444.21/4308.05*100</f>
        <v>10.311161662469098</v>
      </c>
      <c r="H98" s="53"/>
      <c r="I98" s="53"/>
      <c r="J98" s="53"/>
      <c r="K98" s="53"/>
      <c r="L98" s="53"/>
      <c r="M98" s="53"/>
      <c r="N98" s="53"/>
    </row>
    <row r="99" spans="1:14" x14ac:dyDescent="0.4">
      <c r="A99" s="2"/>
      <c r="B99" s="394"/>
      <c r="C99" s="3" t="s">
        <v>73</v>
      </c>
      <c r="D99" s="76" t="s">
        <v>84</v>
      </c>
      <c r="E99" s="136"/>
      <c r="F99" s="20"/>
      <c r="G99" s="20"/>
      <c r="H99" s="53"/>
      <c r="I99" s="53"/>
      <c r="J99" s="53"/>
      <c r="K99" s="53"/>
      <c r="L99" s="53"/>
      <c r="M99" s="53"/>
      <c r="N99" s="53"/>
    </row>
    <row r="100" spans="1:14" x14ac:dyDescent="0.4">
      <c r="A100" s="2"/>
      <c r="B100" s="394"/>
      <c r="C100" s="21" t="s">
        <v>417</v>
      </c>
      <c r="D100" s="76">
        <v>22.36</v>
      </c>
      <c r="E100" s="136">
        <f>6219.46/2257</f>
        <v>2.755631369073992</v>
      </c>
      <c r="F100" s="20" t="s">
        <v>84</v>
      </c>
      <c r="G100" s="20"/>
      <c r="H100" s="53"/>
      <c r="I100" s="53"/>
      <c r="J100" s="53"/>
      <c r="K100" s="53"/>
      <c r="L100" s="53"/>
      <c r="M100" s="53"/>
      <c r="N100" s="53"/>
    </row>
    <row r="101" spans="1:14" x14ac:dyDescent="0.4">
      <c r="A101" s="2"/>
      <c r="B101" s="394"/>
      <c r="C101" s="21" t="s">
        <v>418</v>
      </c>
      <c r="D101" s="76">
        <v>14.56</v>
      </c>
      <c r="E101" s="138">
        <f>600.57/2798.78*100</f>
        <v>21.458278249808846</v>
      </c>
      <c r="F101" s="101">
        <f>877.59/4902.48*100</f>
        <v>17.900939932442359</v>
      </c>
      <c r="G101" s="101">
        <v>17.53</v>
      </c>
      <c r="H101" s="53"/>
      <c r="I101" s="53"/>
      <c r="J101" s="53"/>
      <c r="K101" s="53"/>
      <c r="L101" s="53"/>
      <c r="M101" s="53"/>
      <c r="N101" s="53"/>
    </row>
    <row r="102" spans="1:14" x14ac:dyDescent="0.4">
      <c r="A102" s="2"/>
      <c r="B102" s="394"/>
      <c r="C102" s="21" t="s">
        <v>419</v>
      </c>
      <c r="D102" s="76">
        <v>21.97</v>
      </c>
      <c r="E102" s="138">
        <f>7318/39965*100</f>
        <v>18.311022144376331</v>
      </c>
      <c r="F102" s="101">
        <f>8031/43050*100</f>
        <v>18.655052264808361</v>
      </c>
      <c r="G102" s="101">
        <v>16.66</v>
      </c>
      <c r="H102" s="53"/>
      <c r="I102" s="53"/>
      <c r="J102" s="53"/>
      <c r="K102" s="53"/>
      <c r="L102" s="53"/>
      <c r="M102" s="53"/>
      <c r="N102" s="53"/>
    </row>
    <row r="103" spans="1:14" x14ac:dyDescent="0.4">
      <c r="A103" s="2"/>
      <c r="B103" s="394"/>
      <c r="C103" s="21" t="s">
        <v>420</v>
      </c>
      <c r="D103" s="76">
        <v>29.59</v>
      </c>
      <c r="E103" s="136">
        <f>29110806/228157040</f>
        <v>0.12759109252118628</v>
      </c>
      <c r="F103" s="101">
        <f>35431137/263919595</f>
        <v>0.13424973996341574</v>
      </c>
      <c r="G103" s="101">
        <v>0.62</v>
      </c>
      <c r="H103" s="53"/>
      <c r="I103" s="53"/>
      <c r="J103" s="53"/>
      <c r="K103" s="53"/>
      <c r="L103" s="53"/>
      <c r="M103" s="53"/>
      <c r="N103" s="53"/>
    </row>
    <row r="104" spans="1:14" x14ac:dyDescent="0.4">
      <c r="A104" s="2"/>
      <c r="B104" s="394"/>
      <c r="C104" s="21" t="s">
        <v>421</v>
      </c>
      <c r="D104" s="76">
        <v>34.340000000000003</v>
      </c>
      <c r="E104" s="138">
        <f>478.13/3971.96*100</f>
        <v>12.037633813029336</v>
      </c>
      <c r="F104" s="101">
        <f>35431137/263919595*100</f>
        <v>13.424973996341574</v>
      </c>
      <c r="G104" s="101">
        <v>8.74</v>
      </c>
      <c r="H104" s="53"/>
      <c r="I104" s="53"/>
      <c r="J104" s="53"/>
      <c r="K104" s="53"/>
      <c r="L104" s="53"/>
      <c r="M104" s="53"/>
      <c r="N104" s="53"/>
    </row>
    <row r="105" spans="1:14" x14ac:dyDescent="0.4">
      <c r="A105" s="2"/>
      <c r="B105" s="394"/>
      <c r="C105" s="3" t="s">
        <v>74</v>
      </c>
      <c r="D105" s="139">
        <f>SUM(D100:D104)/5</f>
        <v>24.564</v>
      </c>
      <c r="E105" s="139">
        <f>SUM(E100:E104)/5</f>
        <v>10.938031333761938</v>
      </c>
      <c r="F105" s="139">
        <f>SUM(F100:F104)/5</f>
        <v>10.02304318671114</v>
      </c>
      <c r="G105" s="139"/>
      <c r="H105" s="53"/>
      <c r="I105" s="53"/>
      <c r="J105" s="53"/>
      <c r="K105" s="57"/>
      <c r="L105" s="53"/>
      <c r="M105" s="53"/>
      <c r="N105" s="53"/>
    </row>
    <row r="106" spans="1:14" x14ac:dyDescent="0.35">
      <c r="A106" s="2"/>
      <c r="B106" s="394" t="s">
        <v>77</v>
      </c>
      <c r="C106" s="3" t="s">
        <v>416</v>
      </c>
      <c r="D106" s="65">
        <v>28.55</v>
      </c>
      <c r="E106" s="137">
        <f>3489.88*100000/10076100</f>
        <v>34.635225930667616</v>
      </c>
      <c r="F106" s="101">
        <f>3863.83*100000/10076100</f>
        <v>38.34648326237334</v>
      </c>
      <c r="G106" s="101">
        <f>4308.05/100.761</f>
        <v>42.755133434562978</v>
      </c>
      <c r="H106" s="53"/>
      <c r="I106" s="53"/>
      <c r="J106" s="53"/>
      <c r="K106" s="53"/>
      <c r="L106" s="53"/>
      <c r="M106" s="53"/>
      <c r="N106" s="53"/>
    </row>
    <row r="107" spans="1:14" x14ac:dyDescent="0.4">
      <c r="A107" s="2"/>
      <c r="B107" s="394"/>
      <c r="C107" s="3" t="s">
        <v>73</v>
      </c>
      <c r="D107" s="76" t="s">
        <v>84</v>
      </c>
      <c r="E107" s="76" t="s">
        <v>84</v>
      </c>
      <c r="F107" s="20"/>
      <c r="G107" s="20"/>
      <c r="H107" s="53"/>
      <c r="I107" s="53"/>
      <c r="J107" s="53"/>
      <c r="K107" s="53"/>
      <c r="L107" s="53"/>
      <c r="M107" s="53"/>
      <c r="N107" s="53"/>
    </row>
    <row r="108" spans="1:14" x14ac:dyDescent="0.4">
      <c r="A108" s="2"/>
      <c r="B108" s="411"/>
      <c r="C108" s="21" t="s">
        <v>417</v>
      </c>
      <c r="D108" s="76">
        <v>44.16</v>
      </c>
      <c r="E108" s="136">
        <f>22257/252.1</f>
        <v>88.286394287980968</v>
      </c>
      <c r="F108" s="20" t="s">
        <v>84</v>
      </c>
      <c r="G108" s="20"/>
      <c r="H108" s="53"/>
      <c r="I108" s="53"/>
      <c r="J108" s="53"/>
      <c r="K108" s="53"/>
      <c r="L108" s="53"/>
      <c r="M108" s="53"/>
      <c r="N108" s="53"/>
    </row>
    <row r="109" spans="1:14" x14ac:dyDescent="0.4">
      <c r="A109" s="2"/>
      <c r="B109" s="411"/>
      <c r="C109" s="21" t="s">
        <v>418</v>
      </c>
      <c r="D109" s="76">
        <v>20.170000000000002</v>
      </c>
      <c r="E109" s="140">
        <f>2798.78/100</f>
        <v>27.987800000000004</v>
      </c>
      <c r="F109" s="101">
        <f>4902.48*100000/11475000</f>
        <v>42.723137254901957</v>
      </c>
      <c r="G109" s="101">
        <v>48.05</v>
      </c>
      <c r="H109" s="53"/>
      <c r="I109" s="53"/>
      <c r="J109" s="53"/>
      <c r="K109" s="53"/>
      <c r="L109" s="53"/>
      <c r="M109" s="53"/>
      <c r="N109" s="53"/>
    </row>
    <row r="110" spans="1:14" x14ac:dyDescent="0.4">
      <c r="A110" s="2"/>
      <c r="B110" s="411"/>
      <c r="C110" s="21" t="s">
        <v>419</v>
      </c>
      <c r="D110" s="76">
        <v>290.51</v>
      </c>
      <c r="E110" s="136">
        <f>39965/123.3</f>
        <v>324.12814274128141</v>
      </c>
      <c r="F110" s="101">
        <f>43050*100000/12330000</f>
        <v>349.14841849148416</v>
      </c>
      <c r="G110" s="101">
        <v>362.21</v>
      </c>
      <c r="H110" s="53"/>
      <c r="I110" s="53"/>
      <c r="J110" s="53"/>
      <c r="K110" s="53"/>
      <c r="L110" s="53"/>
      <c r="M110" s="53"/>
      <c r="N110" s="53"/>
    </row>
    <row r="111" spans="1:14" x14ac:dyDescent="0.4">
      <c r="A111" s="2"/>
      <c r="B111" s="411"/>
      <c r="C111" s="21" t="s">
        <v>420</v>
      </c>
      <c r="D111" s="76">
        <v>28.84</v>
      </c>
      <c r="E111" s="136">
        <f>228157040/7500000</f>
        <v>30.420938666666668</v>
      </c>
      <c r="F111" s="101">
        <f>263919595/11250000</f>
        <v>23.459519555555556</v>
      </c>
      <c r="G111" s="101">
        <v>26.07</v>
      </c>
      <c r="H111" s="53"/>
      <c r="I111" s="53"/>
      <c r="J111" s="53"/>
      <c r="K111" s="53"/>
      <c r="L111" s="53"/>
      <c r="M111" s="53"/>
      <c r="N111" s="53"/>
    </row>
    <row r="112" spans="1:14" x14ac:dyDescent="0.4">
      <c r="A112" s="2"/>
      <c r="B112" s="411"/>
      <c r="C112" s="21" t="s">
        <v>421</v>
      </c>
      <c r="D112" s="76">
        <v>152.11000000000001</v>
      </c>
      <c r="E112" s="136">
        <f>3971.96/25.16</f>
        <v>157.86804451510335</v>
      </c>
      <c r="F112" s="101">
        <f>263919595/11250000</f>
        <v>23.459519555555556</v>
      </c>
      <c r="G112" s="101">
        <v>203.18</v>
      </c>
      <c r="H112" s="53"/>
      <c r="I112" s="53"/>
      <c r="J112" s="53"/>
      <c r="K112" s="53"/>
      <c r="L112" s="53"/>
      <c r="M112" s="53"/>
      <c r="N112" s="53"/>
    </row>
    <row r="113" spans="1:14" x14ac:dyDescent="0.4">
      <c r="A113" s="2"/>
      <c r="B113" s="411"/>
      <c r="C113" s="3" t="s">
        <v>74</v>
      </c>
      <c r="D113" s="127">
        <f>SUM(D108:D112)/5</f>
        <v>107.15799999999999</v>
      </c>
      <c r="E113" s="127">
        <f t="shared" ref="E113:F113" si="2">SUM(E108:E112)/5</f>
        <v>125.7382640422065</v>
      </c>
      <c r="F113" s="127">
        <f t="shared" si="2"/>
        <v>87.758118971499442</v>
      </c>
      <c r="G113" s="127"/>
      <c r="H113" s="53"/>
      <c r="I113" s="53"/>
      <c r="J113" s="53"/>
      <c r="K113" s="53"/>
      <c r="L113" s="53"/>
      <c r="M113" s="53"/>
      <c r="N113" s="53"/>
    </row>
    <row r="114" spans="1:14" s="1" customFormat="1" x14ac:dyDescent="0.4">
      <c r="B114" s="412"/>
      <c r="C114" s="413"/>
      <c r="D114" s="413"/>
      <c r="E114" s="413"/>
      <c r="F114" s="413"/>
      <c r="G114" s="414"/>
    </row>
    <row r="115" spans="1:14" ht="12.7" customHeight="1" x14ac:dyDescent="0.4">
      <c r="A115" s="2"/>
      <c r="B115" s="415" t="s">
        <v>422</v>
      </c>
      <c r="C115" s="416"/>
      <c r="D115" s="416"/>
      <c r="E115" s="416"/>
      <c r="F115" s="416"/>
      <c r="G115" s="417"/>
      <c r="H115" s="53"/>
      <c r="I115" s="53"/>
      <c r="J115" s="53"/>
      <c r="K115" s="53"/>
      <c r="L115" s="53"/>
      <c r="M115" s="53"/>
      <c r="N115" s="53"/>
    </row>
    <row r="116" spans="1:14" ht="12.7" customHeight="1" x14ac:dyDescent="0.4">
      <c r="A116" s="2"/>
      <c r="B116" s="418" t="s">
        <v>85</v>
      </c>
      <c r="C116" s="419"/>
      <c r="D116" s="419"/>
      <c r="E116" s="419"/>
      <c r="F116" s="419"/>
      <c r="G116" s="420"/>
      <c r="H116" s="53"/>
      <c r="I116" s="53"/>
      <c r="J116" s="53"/>
      <c r="K116" s="53"/>
      <c r="L116" s="53"/>
      <c r="M116" s="53"/>
      <c r="N116" s="53"/>
    </row>
    <row r="117" spans="1:14" ht="12.7" customHeight="1" x14ac:dyDescent="0.4">
      <c r="A117" s="2"/>
      <c r="B117" s="363" t="s">
        <v>304</v>
      </c>
      <c r="C117" s="368"/>
      <c r="D117" s="368"/>
      <c r="E117" s="368"/>
      <c r="F117" s="368"/>
      <c r="G117" s="369"/>
      <c r="H117" s="53"/>
      <c r="I117" s="53"/>
      <c r="J117" s="53"/>
      <c r="K117" s="53"/>
      <c r="L117" s="53"/>
      <c r="M117" s="53"/>
      <c r="N117" s="53"/>
    </row>
    <row r="118" spans="1:14" x14ac:dyDescent="0.4">
      <c r="C118" s="407"/>
      <c r="D118" s="407"/>
      <c r="E118" s="407"/>
      <c r="F118" s="407"/>
      <c r="G118" s="407"/>
      <c r="H118" s="53"/>
      <c r="I118" s="53"/>
    </row>
    <row r="119" spans="1:14" x14ac:dyDescent="0.4">
      <c r="A119" s="9">
        <v>14</v>
      </c>
      <c r="B119" s="61" t="s">
        <v>78</v>
      </c>
      <c r="C119" s="356" t="s">
        <v>41</v>
      </c>
      <c r="D119" s="357"/>
      <c r="E119" s="357"/>
      <c r="F119" s="357"/>
      <c r="G119" s="408"/>
    </row>
    <row r="120" spans="1:14" x14ac:dyDescent="0.4">
      <c r="A120" s="23"/>
      <c r="C120" s="69"/>
      <c r="D120" s="69"/>
      <c r="E120" s="69"/>
      <c r="F120" s="69"/>
      <c r="G120" s="69"/>
    </row>
    <row r="121" spans="1:14" ht="12.7" customHeight="1" x14ac:dyDescent="0.4">
      <c r="B121" s="409" t="s">
        <v>423</v>
      </c>
      <c r="C121" s="410"/>
      <c r="D121" s="410"/>
      <c r="E121" s="410"/>
      <c r="F121" s="410"/>
      <c r="G121" s="410"/>
      <c r="H121" s="410"/>
    </row>
  </sheetData>
  <sheetProtection password="EB7F" sheet="1" objects="1" scenarios="1"/>
  <mergeCells count="60">
    <mergeCell ref="B79:G79"/>
    <mergeCell ref="B82:B89"/>
    <mergeCell ref="B90:B97"/>
    <mergeCell ref="B121:H121"/>
    <mergeCell ref="B114:G114"/>
    <mergeCell ref="B115:G115"/>
    <mergeCell ref="B116:G116"/>
    <mergeCell ref="B117:G117"/>
    <mergeCell ref="C118:G118"/>
    <mergeCell ref="C119:G119"/>
    <mergeCell ref="B98:B105"/>
    <mergeCell ref="B106:B113"/>
    <mergeCell ref="F69:H69"/>
    <mergeCell ref="I69:K69"/>
    <mergeCell ref="L69:N69"/>
    <mergeCell ref="B73:N73"/>
    <mergeCell ref="B74:N74"/>
    <mergeCell ref="C63:E63"/>
    <mergeCell ref="B69:B70"/>
    <mergeCell ref="C69:C70"/>
    <mergeCell ref="D69:D70"/>
    <mergeCell ref="E69:E70"/>
    <mergeCell ref="B76:N76"/>
    <mergeCell ref="B77:N77"/>
    <mergeCell ref="B60:E60"/>
    <mergeCell ref="C45:E45"/>
    <mergeCell ref="B46:E46"/>
    <mergeCell ref="B48:E48"/>
    <mergeCell ref="B51:E51"/>
    <mergeCell ref="B52:E52"/>
    <mergeCell ref="B54:E54"/>
    <mergeCell ref="B55:B56"/>
    <mergeCell ref="C55:E56"/>
    <mergeCell ref="C57:E57"/>
    <mergeCell ref="C58:E58"/>
    <mergeCell ref="B59:E59"/>
    <mergeCell ref="B75:N75"/>
    <mergeCell ref="B61:E61"/>
    <mergeCell ref="C44:E44"/>
    <mergeCell ref="C22:E22"/>
    <mergeCell ref="B23:E23"/>
    <mergeCell ref="B26:E26"/>
    <mergeCell ref="B27:E27"/>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4"/>
  <sheetViews>
    <sheetView topLeftCell="A13" workbookViewId="0">
      <selection activeCell="G33" sqref="G33"/>
    </sheetView>
  </sheetViews>
  <sheetFormatPr defaultColWidth="8.84375" defaultRowHeight="13.25" x14ac:dyDescent="0.4"/>
  <cols>
    <col min="1" max="1" width="8.84375" style="8"/>
    <col min="2" max="2" width="40.3046875" style="8" customWidth="1"/>
    <col min="3" max="3" width="41.07421875" style="8" customWidth="1"/>
    <col min="4" max="4" width="15.84375" style="8" customWidth="1"/>
    <col min="5" max="5" width="16.5351562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113</v>
      </c>
    </row>
    <row r="4" spans="1:5" x14ac:dyDescent="0.4">
      <c r="D4" s="5"/>
    </row>
    <row r="5" spans="1:5" ht="21" customHeight="1" x14ac:dyDescent="0.4">
      <c r="A5" s="6">
        <v>1</v>
      </c>
      <c r="B5" s="7" t="s">
        <v>3</v>
      </c>
      <c r="C5" s="356" t="s">
        <v>4</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86</v>
      </c>
      <c r="D8" s="5"/>
    </row>
    <row r="9" spans="1:5" ht="16.25" customHeight="1" x14ac:dyDescent="0.4">
      <c r="A9" s="9"/>
      <c r="B9" s="359" t="s">
        <v>5</v>
      </c>
      <c r="C9" s="359"/>
      <c r="D9" s="359"/>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114</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93</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I22" s="13"/>
      <c r="J22" s="13"/>
      <c r="K22" s="13"/>
      <c r="L22" s="13"/>
      <c r="M22" s="13"/>
      <c r="N22" s="13"/>
    </row>
    <row r="23" spans="1:14" x14ac:dyDescent="0.4">
      <c r="A23" s="9"/>
      <c r="B23" s="359" t="s">
        <v>17</v>
      </c>
      <c r="C23" s="359"/>
      <c r="D23" s="359"/>
      <c r="E23" s="359"/>
      <c r="F23" s="15"/>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21</v>
      </c>
      <c r="D28" s="18" t="s">
        <v>22</v>
      </c>
      <c r="E28" s="18" t="s">
        <v>23</v>
      </c>
      <c r="F28" s="15"/>
    </row>
    <row r="29" spans="1:14" x14ac:dyDescent="0.4">
      <c r="A29" s="9"/>
      <c r="B29" s="19" t="s">
        <v>24</v>
      </c>
      <c r="C29" s="20">
        <v>7440.94</v>
      </c>
      <c r="D29" s="20">
        <v>8616.11</v>
      </c>
      <c r="E29" s="21">
        <v>9758.4</v>
      </c>
      <c r="F29" s="15"/>
    </row>
    <row r="30" spans="1:14" x14ac:dyDescent="0.4">
      <c r="A30" s="9"/>
      <c r="B30" s="19" t="s">
        <v>25</v>
      </c>
      <c r="C30" s="20">
        <v>187.66</v>
      </c>
      <c r="D30" s="20">
        <v>303.64999999999998</v>
      </c>
      <c r="E30" s="21">
        <v>458.51</v>
      </c>
      <c r="F30" s="15"/>
    </row>
    <row r="31" spans="1:14" x14ac:dyDescent="0.4">
      <c r="A31" s="9"/>
      <c r="B31" s="19" t="s">
        <v>26</v>
      </c>
      <c r="C31" s="20">
        <v>811</v>
      </c>
      <c r="D31" s="20">
        <v>811</v>
      </c>
      <c r="E31" s="21">
        <v>811</v>
      </c>
    </row>
    <row r="32" spans="1:14" x14ac:dyDescent="0.4">
      <c r="A32" s="9"/>
      <c r="B32" s="19" t="s">
        <v>27</v>
      </c>
      <c r="C32" s="20">
        <v>287.14</v>
      </c>
      <c r="D32" s="20">
        <v>590.79</v>
      </c>
      <c r="E32" s="21">
        <v>1049.3</v>
      </c>
    </row>
    <row r="33" spans="1:10" x14ac:dyDescent="0.4">
      <c r="A33" s="9"/>
      <c r="B33" s="363" t="s">
        <v>115</v>
      </c>
      <c r="C33" s="368"/>
      <c r="D33" s="368"/>
      <c r="E33" s="369"/>
    </row>
    <row r="34" spans="1:10" x14ac:dyDescent="0.4">
      <c r="A34" s="9"/>
      <c r="B34" s="13"/>
      <c r="C34" s="15"/>
      <c r="D34" s="15"/>
      <c r="E34" s="15"/>
    </row>
    <row r="35" spans="1:10" x14ac:dyDescent="0.4">
      <c r="A35" s="9">
        <v>7</v>
      </c>
      <c r="B35" s="365" t="s">
        <v>28</v>
      </c>
      <c r="C35" s="365"/>
      <c r="D35" s="365"/>
      <c r="E35" s="365"/>
      <c r="H35" s="11"/>
      <c r="I35" s="11"/>
      <c r="J35" s="11"/>
    </row>
    <row r="36" spans="1:10" x14ac:dyDescent="0.4">
      <c r="A36" s="9"/>
      <c r="B36" s="17" t="s">
        <v>29</v>
      </c>
      <c r="C36" s="20" t="s">
        <v>30</v>
      </c>
      <c r="D36" s="13"/>
      <c r="E36" s="13"/>
      <c r="F36" s="11"/>
    </row>
    <row r="37" spans="1:10" x14ac:dyDescent="0.4">
      <c r="A37" s="9"/>
      <c r="B37" s="17" t="s">
        <v>31</v>
      </c>
      <c r="C37" s="20" t="s">
        <v>30</v>
      </c>
      <c r="D37" s="13"/>
      <c r="E37" s="13"/>
    </row>
    <row r="38" spans="1:10" x14ac:dyDescent="0.4">
      <c r="A38" s="9"/>
      <c r="B38" s="22" t="s">
        <v>32</v>
      </c>
      <c r="C38" s="20" t="s">
        <v>30</v>
      </c>
      <c r="D38" s="13"/>
      <c r="E38" s="13"/>
    </row>
    <row r="39" spans="1:10" x14ac:dyDescent="0.4">
      <c r="A39" s="9"/>
      <c r="B39" s="359" t="s">
        <v>17</v>
      </c>
      <c r="C39" s="359"/>
      <c r="D39" s="13"/>
      <c r="E39" s="13"/>
    </row>
    <row r="40" spans="1:10" x14ac:dyDescent="0.4">
      <c r="A40" s="9"/>
      <c r="C40" s="13"/>
      <c r="D40" s="13"/>
      <c r="E40" s="13"/>
    </row>
    <row r="41" spans="1:10" x14ac:dyDescent="0.4">
      <c r="A41" s="9"/>
      <c r="B41" s="15"/>
      <c r="C41" s="13"/>
      <c r="D41" s="13"/>
      <c r="E41" s="13"/>
    </row>
    <row r="42" spans="1:10" x14ac:dyDescent="0.4">
      <c r="A42" s="9">
        <v>8</v>
      </c>
      <c r="B42" s="365" t="s">
        <v>33</v>
      </c>
      <c r="C42" s="365"/>
      <c r="D42" s="365"/>
      <c r="E42" s="365"/>
      <c r="G42" s="11"/>
      <c r="H42" s="11"/>
      <c r="I42" s="11"/>
      <c r="J42" s="11"/>
    </row>
    <row r="43" spans="1:10" x14ac:dyDescent="0.4">
      <c r="A43" s="9"/>
      <c r="B43" s="17" t="s">
        <v>34</v>
      </c>
      <c r="C43" s="373" t="s">
        <v>116</v>
      </c>
      <c r="D43" s="374"/>
      <c r="E43" s="375"/>
      <c r="F43" s="13"/>
    </row>
    <row r="44" spans="1:10" x14ac:dyDescent="0.4">
      <c r="A44" s="9"/>
      <c r="B44" s="17" t="s">
        <v>31</v>
      </c>
      <c r="C44" s="373" t="s">
        <v>79</v>
      </c>
      <c r="D44" s="374"/>
      <c r="E44" s="375"/>
      <c r="F44" s="13"/>
    </row>
    <row r="45" spans="1:10" x14ac:dyDescent="0.4">
      <c r="A45" s="9"/>
      <c r="B45" s="17" t="s">
        <v>32</v>
      </c>
      <c r="C45" s="373" t="s">
        <v>79</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51.25" x14ac:dyDescent="0.4">
      <c r="A49" s="24"/>
      <c r="B49" s="26" t="s">
        <v>37</v>
      </c>
      <c r="C49" s="27" t="s">
        <v>38</v>
      </c>
      <c r="D49" s="28" t="s">
        <v>39</v>
      </c>
      <c r="E49" s="27" t="s">
        <v>40</v>
      </c>
    </row>
    <row r="50" spans="1:12" ht="39.75" x14ac:dyDescent="0.4">
      <c r="A50" s="29"/>
      <c r="B50" s="30" t="s">
        <v>117</v>
      </c>
      <c r="C50" s="30" t="s">
        <v>118</v>
      </c>
      <c r="D50" s="78" t="s">
        <v>119</v>
      </c>
      <c r="E50" s="4" t="s">
        <v>41</v>
      </c>
    </row>
    <row r="51" spans="1:12" x14ac:dyDescent="0.4">
      <c r="A51" s="31"/>
      <c r="B51" s="421" t="s">
        <v>120</v>
      </c>
      <c r="C51" s="422"/>
      <c r="D51" s="422"/>
      <c r="E51" s="423"/>
      <c r="F51" s="15"/>
      <c r="G51" s="15"/>
      <c r="H51" s="15"/>
    </row>
    <row r="52" spans="1:12" x14ac:dyDescent="0.4">
      <c r="A52" s="32"/>
      <c r="B52" s="62"/>
      <c r="C52" s="23"/>
      <c r="D52" s="23"/>
      <c r="E52" s="23"/>
      <c r="F52" s="15"/>
      <c r="G52" s="15"/>
      <c r="H52" s="15"/>
      <c r="I52" s="15"/>
    </row>
    <row r="53" spans="1:12" x14ac:dyDescent="0.4">
      <c r="A53" s="24">
        <v>10</v>
      </c>
      <c r="B53" s="376" t="s">
        <v>42</v>
      </c>
      <c r="C53" s="424"/>
      <c r="D53" s="424"/>
      <c r="E53" s="424"/>
      <c r="F53" s="15"/>
      <c r="G53" s="15"/>
      <c r="H53" s="15"/>
    </row>
    <row r="54" spans="1:12" x14ac:dyDescent="0.35">
      <c r="A54" s="29"/>
      <c r="B54" s="383" t="s">
        <v>43</v>
      </c>
      <c r="C54" s="426" t="s">
        <v>121</v>
      </c>
      <c r="D54" s="427"/>
      <c r="E54" s="428"/>
      <c r="K54" s="1"/>
    </row>
    <row r="55" spans="1:12" x14ac:dyDescent="0.35">
      <c r="A55" s="29"/>
      <c r="B55" s="384"/>
      <c r="C55" s="426" t="s">
        <v>122</v>
      </c>
      <c r="D55" s="427"/>
      <c r="E55" s="428"/>
      <c r="K55" s="1"/>
    </row>
    <row r="56" spans="1:12" x14ac:dyDescent="0.4">
      <c r="A56" s="29"/>
      <c r="B56" s="425"/>
      <c r="C56" s="429" t="s">
        <v>123</v>
      </c>
      <c r="D56" s="430"/>
      <c r="E56" s="431"/>
      <c r="K56" s="1"/>
    </row>
    <row r="57" spans="1:12" x14ac:dyDescent="0.4">
      <c r="A57" s="24"/>
      <c r="B57" s="33" t="s">
        <v>44</v>
      </c>
      <c r="C57" s="429" t="s">
        <v>119</v>
      </c>
      <c r="D57" s="430"/>
      <c r="E57" s="431"/>
    </row>
    <row r="58" spans="1:12" x14ac:dyDescent="0.4">
      <c r="A58" s="29"/>
      <c r="B58" s="33" t="s">
        <v>45</v>
      </c>
      <c r="C58" s="391" t="s">
        <v>46</v>
      </c>
      <c r="D58" s="391"/>
      <c r="E58" s="391"/>
      <c r="K58" s="34"/>
    </row>
    <row r="59" spans="1:12" x14ac:dyDescent="0.4">
      <c r="A59" s="29"/>
      <c r="B59" s="432"/>
      <c r="C59" s="433"/>
      <c r="D59" s="433"/>
      <c r="E59" s="434"/>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124</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125</v>
      </c>
      <c r="D69" s="366" t="s">
        <v>126</v>
      </c>
      <c r="E69" s="403" t="s">
        <v>127</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61</v>
      </c>
      <c r="C71" s="45">
        <v>16</v>
      </c>
      <c r="D71" s="46">
        <v>15.75</v>
      </c>
      <c r="E71" s="46">
        <v>26</v>
      </c>
      <c r="F71" s="46">
        <v>38.5</v>
      </c>
      <c r="G71" s="46">
        <v>38.5</v>
      </c>
      <c r="H71" s="45">
        <v>15.5</v>
      </c>
      <c r="I71" s="45">
        <v>45</v>
      </c>
      <c r="J71" s="45">
        <v>49.5</v>
      </c>
      <c r="K71" s="45">
        <v>32.5</v>
      </c>
      <c r="L71" s="45">
        <v>56.89</v>
      </c>
      <c r="M71" s="45">
        <v>80</v>
      </c>
      <c r="N71" s="45">
        <v>44</v>
      </c>
    </row>
    <row r="72" spans="1:14" ht="25.65" x14ac:dyDescent="0.35">
      <c r="A72" s="2"/>
      <c r="B72" s="17" t="s">
        <v>62</v>
      </c>
      <c r="C72" s="47">
        <v>25201.9</v>
      </c>
      <c r="D72" s="47">
        <v>26785.55</v>
      </c>
      <c r="E72" s="64">
        <v>26117.85</v>
      </c>
      <c r="F72" s="45">
        <v>25341.86</v>
      </c>
      <c r="G72" s="45">
        <v>29094.61</v>
      </c>
      <c r="H72" s="45">
        <v>22494.61</v>
      </c>
      <c r="I72" s="45">
        <v>29620.5</v>
      </c>
      <c r="J72" s="45">
        <v>28334.25</v>
      </c>
      <c r="K72" s="45">
        <v>25262.21</v>
      </c>
      <c r="L72" s="46">
        <v>32968.68</v>
      </c>
      <c r="M72" s="46">
        <v>36443.980000000003</v>
      </c>
      <c r="N72" s="48">
        <v>29241.48</v>
      </c>
    </row>
    <row r="73" spans="1:14" x14ac:dyDescent="0.35">
      <c r="A73" s="2"/>
      <c r="B73" s="22" t="s">
        <v>128</v>
      </c>
      <c r="C73" s="47">
        <v>856.23</v>
      </c>
      <c r="D73" s="47">
        <v>834.21</v>
      </c>
      <c r="E73" s="47">
        <v>762.35</v>
      </c>
      <c r="F73" s="45">
        <v>767.86</v>
      </c>
      <c r="G73" s="45">
        <v>948</v>
      </c>
      <c r="H73" s="45">
        <v>731.23</v>
      </c>
      <c r="I73" s="46">
        <v>1288.8800000000001</v>
      </c>
      <c r="J73" s="45">
        <v>1280.57</v>
      </c>
      <c r="K73" s="45">
        <v>824.79</v>
      </c>
      <c r="L73" s="46" t="s">
        <v>41</v>
      </c>
      <c r="M73" s="46" t="s">
        <v>41</v>
      </c>
      <c r="N73" s="46" t="s">
        <v>41</v>
      </c>
    </row>
    <row r="74" spans="1:14" x14ac:dyDescent="0.4">
      <c r="A74" s="2"/>
      <c r="B74" s="399" t="s">
        <v>129</v>
      </c>
      <c r="C74" s="399"/>
      <c r="D74" s="399"/>
      <c r="E74" s="399"/>
      <c r="F74" s="399"/>
      <c r="G74" s="399"/>
      <c r="H74" s="399"/>
      <c r="I74" s="399"/>
      <c r="J74" s="399"/>
      <c r="K74" s="399"/>
      <c r="L74" s="399"/>
      <c r="M74" s="399"/>
      <c r="N74" s="399"/>
    </row>
    <row r="75" spans="1:14" x14ac:dyDescent="0.4">
      <c r="A75" s="2"/>
      <c r="B75" s="401" t="s">
        <v>17</v>
      </c>
      <c r="C75" s="401"/>
      <c r="D75" s="401"/>
      <c r="E75" s="401"/>
      <c r="F75" s="401"/>
      <c r="G75" s="401"/>
      <c r="H75" s="401"/>
      <c r="I75" s="401"/>
      <c r="J75" s="401"/>
      <c r="K75" s="401"/>
      <c r="L75" s="401"/>
      <c r="M75" s="401"/>
      <c r="N75" s="401"/>
    </row>
    <row r="76" spans="1:14" x14ac:dyDescent="0.4">
      <c r="A76" s="2"/>
      <c r="B76" s="359" t="s">
        <v>63</v>
      </c>
      <c r="C76" s="359"/>
      <c r="D76" s="359"/>
      <c r="E76" s="359"/>
      <c r="F76" s="359"/>
      <c r="G76" s="359"/>
      <c r="H76" s="359"/>
      <c r="I76" s="359"/>
      <c r="J76" s="359"/>
      <c r="K76" s="359"/>
      <c r="L76" s="359"/>
      <c r="M76" s="359"/>
      <c r="N76" s="359"/>
    </row>
    <row r="77" spans="1:14" s="1" customFormat="1" x14ac:dyDescent="0.4">
      <c r="B77" s="359" t="s">
        <v>64</v>
      </c>
      <c r="C77" s="359"/>
      <c r="D77" s="359"/>
      <c r="E77" s="359"/>
      <c r="F77" s="359"/>
      <c r="G77" s="359"/>
      <c r="H77" s="359"/>
      <c r="I77" s="359"/>
      <c r="J77" s="359"/>
      <c r="K77" s="359"/>
      <c r="L77" s="359"/>
      <c r="M77" s="359"/>
      <c r="N77" s="359"/>
    </row>
    <row r="78" spans="1:14" x14ac:dyDescent="0.4">
      <c r="A78" s="2"/>
      <c r="B78" s="359" t="s">
        <v>80</v>
      </c>
      <c r="C78" s="359"/>
      <c r="D78" s="359"/>
      <c r="E78" s="359"/>
      <c r="F78" s="359"/>
      <c r="G78" s="359"/>
      <c r="H78" s="359"/>
      <c r="I78" s="359"/>
      <c r="J78" s="359"/>
      <c r="K78" s="359"/>
      <c r="L78" s="359"/>
      <c r="M78" s="359"/>
      <c r="N78" s="359"/>
    </row>
    <row r="79" spans="1:14" x14ac:dyDescent="0.4">
      <c r="A79" s="2"/>
      <c r="B79" s="359" t="s">
        <v>65</v>
      </c>
      <c r="C79" s="359"/>
      <c r="D79" s="359"/>
      <c r="E79" s="359"/>
      <c r="F79" s="359"/>
      <c r="G79" s="359"/>
      <c r="H79" s="359"/>
      <c r="I79" s="359"/>
      <c r="J79" s="359"/>
      <c r="K79" s="359"/>
      <c r="L79" s="359"/>
      <c r="M79" s="359"/>
      <c r="N79" s="359"/>
    </row>
    <row r="80" spans="1:14" x14ac:dyDescent="0.4">
      <c r="A80" s="2"/>
      <c r="B80" s="49"/>
      <c r="C80" s="49"/>
      <c r="D80" s="49"/>
      <c r="E80" s="49"/>
      <c r="F80" s="49"/>
      <c r="G80" s="13"/>
      <c r="H80" s="13"/>
      <c r="I80" s="13"/>
      <c r="J80" s="13"/>
      <c r="K80" s="13"/>
      <c r="L80" s="13"/>
      <c r="M80" s="13"/>
      <c r="N80" s="13"/>
    </row>
    <row r="81" spans="1:14" x14ac:dyDescent="0.4">
      <c r="A81" s="9">
        <v>13</v>
      </c>
      <c r="B81" s="405" t="s">
        <v>66</v>
      </c>
      <c r="C81" s="406"/>
      <c r="D81" s="406"/>
      <c r="E81" s="406"/>
      <c r="F81" s="406"/>
      <c r="G81" s="376"/>
      <c r="H81" s="11"/>
      <c r="I81" s="11"/>
      <c r="J81" s="11"/>
      <c r="K81" s="11"/>
      <c r="L81" s="11"/>
      <c r="M81" s="11"/>
      <c r="N81" s="11"/>
    </row>
    <row r="82" spans="1:14" x14ac:dyDescent="0.4">
      <c r="A82" s="9"/>
      <c r="C82" s="15"/>
      <c r="D82" s="15"/>
      <c r="E82" s="15"/>
      <c r="F82" s="15"/>
      <c r="G82" s="15"/>
      <c r="H82" s="15"/>
      <c r="I82" s="15"/>
      <c r="J82" s="15"/>
      <c r="K82" s="15"/>
      <c r="L82" s="15"/>
      <c r="M82" s="15"/>
      <c r="N82" s="15"/>
    </row>
    <row r="83" spans="1:14" ht="102.5" x14ac:dyDescent="0.4">
      <c r="A83" s="2"/>
      <c r="B83" s="50" t="s">
        <v>67</v>
      </c>
      <c r="C83" s="18" t="s">
        <v>68</v>
      </c>
      <c r="D83" s="18" t="s">
        <v>69</v>
      </c>
      <c r="E83" s="18" t="s">
        <v>70</v>
      </c>
      <c r="F83" s="18" t="s">
        <v>71</v>
      </c>
      <c r="G83" s="18" t="s">
        <v>130</v>
      </c>
      <c r="H83" s="13"/>
      <c r="I83" s="13"/>
      <c r="J83" s="13"/>
      <c r="K83" s="13"/>
      <c r="L83" s="13"/>
      <c r="M83" s="13"/>
      <c r="N83" s="13"/>
    </row>
    <row r="84" spans="1:14" ht="12.7" customHeight="1" x14ac:dyDescent="0.35">
      <c r="A84" s="2"/>
      <c r="B84" s="394" t="s">
        <v>72</v>
      </c>
      <c r="C84" s="3" t="s">
        <v>131</v>
      </c>
      <c r="D84" s="65">
        <v>3.21</v>
      </c>
      <c r="E84" s="52">
        <v>2.6</v>
      </c>
      <c r="F84" s="66">
        <v>3.74</v>
      </c>
      <c r="G84" s="66">
        <v>5.65</v>
      </c>
      <c r="H84" s="53"/>
      <c r="I84" s="53"/>
      <c r="J84" s="53"/>
      <c r="K84" s="53"/>
      <c r="L84" s="53"/>
      <c r="M84" s="53"/>
      <c r="N84" s="53"/>
    </row>
    <row r="85" spans="1:14" x14ac:dyDescent="0.4">
      <c r="A85" s="2"/>
      <c r="B85" s="394"/>
      <c r="C85" s="3" t="s">
        <v>73</v>
      </c>
      <c r="D85" s="54"/>
      <c r="E85" s="52"/>
      <c r="F85" s="66"/>
      <c r="G85" s="66"/>
      <c r="H85" s="53"/>
      <c r="I85" s="53"/>
      <c r="J85" s="53"/>
      <c r="K85" s="53"/>
      <c r="L85" s="53"/>
      <c r="M85" s="53"/>
      <c r="N85" s="53"/>
    </row>
    <row r="86" spans="1:14" x14ac:dyDescent="0.35">
      <c r="A86" s="2"/>
      <c r="B86" s="394"/>
      <c r="C86" s="48" t="s">
        <v>132</v>
      </c>
      <c r="D86" s="54">
        <v>2.5</v>
      </c>
      <c r="E86" s="52">
        <v>3.66</v>
      </c>
      <c r="F86" s="66">
        <v>3.91</v>
      </c>
      <c r="G86" s="66">
        <v>4.4000000000000004</v>
      </c>
      <c r="H86" s="53"/>
      <c r="I86" s="53"/>
      <c r="J86" s="53"/>
      <c r="K86" s="53"/>
      <c r="L86" s="53"/>
      <c r="M86" s="53"/>
      <c r="N86" s="53"/>
    </row>
    <row r="87" spans="1:14" x14ac:dyDescent="0.35">
      <c r="A87" s="2"/>
      <c r="B87" s="394"/>
      <c r="C87" s="48" t="s">
        <v>133</v>
      </c>
      <c r="D87" s="54">
        <v>14.4</v>
      </c>
      <c r="E87" s="67" t="s">
        <v>134</v>
      </c>
      <c r="F87" s="66">
        <v>-72.239999999999995</v>
      </c>
      <c r="G87" s="66"/>
      <c r="H87" s="53"/>
      <c r="I87" s="53"/>
      <c r="J87" s="53"/>
      <c r="K87" s="53"/>
      <c r="L87" s="53"/>
      <c r="M87" s="53"/>
      <c r="N87" s="53"/>
    </row>
    <row r="88" spans="1:14" x14ac:dyDescent="0.35">
      <c r="A88" s="2"/>
      <c r="B88" s="394"/>
      <c r="C88" s="48" t="s">
        <v>135</v>
      </c>
      <c r="D88" s="54">
        <v>9.8000000000000007</v>
      </c>
      <c r="E88" s="52">
        <v>14.51</v>
      </c>
      <c r="F88" s="66">
        <v>16.28</v>
      </c>
      <c r="G88" s="66">
        <v>14.98</v>
      </c>
      <c r="H88" s="53"/>
      <c r="I88" s="53"/>
      <c r="J88" s="53"/>
      <c r="K88" s="53"/>
      <c r="L88" s="53"/>
      <c r="M88" s="53"/>
      <c r="N88" s="53"/>
    </row>
    <row r="89" spans="1:14" x14ac:dyDescent="0.35">
      <c r="A89" s="2"/>
      <c r="B89" s="394"/>
      <c r="C89" s="3" t="s">
        <v>74</v>
      </c>
      <c r="D89" s="65">
        <v>8.9</v>
      </c>
      <c r="E89" s="55">
        <f>E86+E88/2</f>
        <v>10.914999999999999</v>
      </c>
      <c r="F89" s="66"/>
      <c r="G89" s="66"/>
      <c r="H89" s="53"/>
      <c r="I89" s="53"/>
      <c r="J89" s="53"/>
      <c r="K89" s="53"/>
      <c r="L89" s="53"/>
      <c r="M89" s="53"/>
      <c r="N89" s="53"/>
    </row>
    <row r="90" spans="1:14" x14ac:dyDescent="0.35">
      <c r="A90" s="2"/>
      <c r="B90" s="394" t="s">
        <v>75</v>
      </c>
      <c r="C90" s="3" t="s">
        <v>131</v>
      </c>
      <c r="D90" s="65">
        <v>4.68</v>
      </c>
      <c r="E90" s="52">
        <v>14.81</v>
      </c>
      <c r="F90" s="66">
        <v>12.03</v>
      </c>
      <c r="G90" s="70">
        <f>56.85/5.65</f>
        <v>10.061946902654867</v>
      </c>
      <c r="H90" s="53"/>
      <c r="I90" s="53"/>
      <c r="J90" s="53"/>
      <c r="K90" s="53"/>
      <c r="L90" s="53"/>
      <c r="M90" s="53"/>
      <c r="N90" s="53"/>
    </row>
    <row r="91" spans="1:14" x14ac:dyDescent="0.35">
      <c r="A91" s="2"/>
      <c r="B91" s="394"/>
      <c r="C91" s="3" t="s">
        <v>73</v>
      </c>
      <c r="D91" s="65"/>
      <c r="E91" s="52"/>
      <c r="F91" s="66"/>
      <c r="G91" s="66"/>
      <c r="H91" s="53"/>
      <c r="I91" s="53"/>
      <c r="J91" s="53"/>
      <c r="K91" s="53"/>
      <c r="L91" s="53"/>
      <c r="M91" s="53"/>
      <c r="N91" s="53"/>
    </row>
    <row r="92" spans="1:14" x14ac:dyDescent="0.35">
      <c r="A92" s="2"/>
      <c r="B92" s="394"/>
      <c r="C92" s="48" t="s">
        <v>132</v>
      </c>
      <c r="D92" s="65">
        <v>13.9</v>
      </c>
      <c r="E92" s="52">
        <v>15.35</v>
      </c>
      <c r="F92" s="66">
        <v>14.96</v>
      </c>
      <c r="G92" s="70">
        <f>81.25/4.4</f>
        <v>18.46590909090909</v>
      </c>
      <c r="H92" s="53"/>
      <c r="I92" s="53"/>
      <c r="J92" s="53"/>
      <c r="K92" s="53"/>
      <c r="L92" s="53"/>
      <c r="M92" s="53"/>
      <c r="N92" s="53"/>
    </row>
    <row r="93" spans="1:14" x14ac:dyDescent="0.35">
      <c r="A93" s="2"/>
      <c r="B93" s="394"/>
      <c r="C93" s="48" t="s">
        <v>133</v>
      </c>
      <c r="D93" s="68">
        <v>16.100000000000001</v>
      </c>
      <c r="E93" s="67" t="s">
        <v>82</v>
      </c>
      <c r="F93" s="67" t="s">
        <v>134</v>
      </c>
      <c r="G93" s="67"/>
      <c r="H93" s="53"/>
      <c r="I93" s="53"/>
      <c r="J93" s="53"/>
      <c r="K93" s="53"/>
      <c r="L93" s="53"/>
      <c r="M93" s="53"/>
      <c r="N93" s="53"/>
    </row>
    <row r="94" spans="1:14" x14ac:dyDescent="0.35">
      <c r="A94" s="2"/>
      <c r="B94" s="394"/>
      <c r="C94" s="48" t="s">
        <v>135</v>
      </c>
      <c r="D94" s="65">
        <v>10.6</v>
      </c>
      <c r="E94" s="52">
        <v>8.3699999999999992</v>
      </c>
      <c r="F94" s="66">
        <v>10.68</v>
      </c>
      <c r="G94" s="70">
        <f>162.4/14.98</f>
        <v>10.841121495327103</v>
      </c>
      <c r="H94" s="53"/>
      <c r="I94" s="53"/>
      <c r="J94" s="53"/>
      <c r="K94" s="53"/>
      <c r="L94" s="53"/>
      <c r="M94" s="53"/>
      <c r="N94" s="53"/>
    </row>
    <row r="95" spans="1:14" x14ac:dyDescent="0.35">
      <c r="A95" s="2"/>
      <c r="B95" s="394"/>
      <c r="C95" s="3" t="s">
        <v>74</v>
      </c>
      <c r="D95" s="65">
        <v>13.53</v>
      </c>
      <c r="E95" s="52">
        <f>E92+E94/2</f>
        <v>19.535</v>
      </c>
      <c r="F95" s="66"/>
      <c r="G95" s="66"/>
      <c r="H95" s="53"/>
      <c r="I95" s="53"/>
      <c r="J95" s="53"/>
      <c r="K95" s="53"/>
      <c r="L95" s="53"/>
      <c r="M95" s="53"/>
      <c r="N95" s="53"/>
    </row>
    <row r="96" spans="1:14" x14ac:dyDescent="0.35">
      <c r="A96" s="2"/>
      <c r="B96" s="394" t="s">
        <v>76</v>
      </c>
      <c r="C96" s="3" t="s">
        <v>136</v>
      </c>
      <c r="D96" s="65">
        <v>30.89</v>
      </c>
      <c r="E96" s="52">
        <v>19.2</v>
      </c>
      <c r="F96" s="66">
        <v>21.66</v>
      </c>
      <c r="G96" s="71">
        <f>458.51/1860.3</f>
        <v>0.24647099930118799</v>
      </c>
      <c r="H96" s="53"/>
      <c r="I96" s="53"/>
      <c r="J96" s="53"/>
      <c r="K96" s="53"/>
      <c r="L96" s="53"/>
      <c r="M96" s="53"/>
      <c r="N96" s="53"/>
    </row>
    <row r="97" spans="1:14" x14ac:dyDescent="0.35">
      <c r="A97" s="2"/>
      <c r="B97" s="394"/>
      <c r="C97" s="3" t="s">
        <v>73</v>
      </c>
      <c r="D97" s="65"/>
      <c r="E97" s="52"/>
      <c r="F97" s="66"/>
      <c r="G97" s="66"/>
      <c r="H97" s="53"/>
      <c r="I97" s="53"/>
      <c r="J97" s="53"/>
      <c r="K97" s="53"/>
      <c r="L97" s="53"/>
      <c r="M97" s="53"/>
      <c r="N97" s="53"/>
    </row>
    <row r="98" spans="1:14" x14ac:dyDescent="0.35">
      <c r="A98" s="2"/>
      <c r="B98" s="394"/>
      <c r="C98" s="48" t="s">
        <v>132</v>
      </c>
      <c r="D98" s="65">
        <v>8.6999999999999993</v>
      </c>
      <c r="E98" s="52">
        <v>10.44</v>
      </c>
      <c r="F98" s="66">
        <v>10.31</v>
      </c>
      <c r="G98" s="71">
        <f>3780.04/36744.78</f>
        <v>0.10287284343517637</v>
      </c>
      <c r="H98" s="53"/>
      <c r="I98" s="53"/>
      <c r="J98" s="53"/>
      <c r="K98" s="53"/>
      <c r="L98" s="53"/>
      <c r="M98" s="53"/>
      <c r="N98" s="53"/>
    </row>
    <row r="99" spans="1:14" x14ac:dyDescent="0.35">
      <c r="A99" s="2"/>
      <c r="B99" s="394"/>
      <c r="C99" s="48" t="s">
        <v>133</v>
      </c>
      <c r="D99" s="68">
        <v>6.5</v>
      </c>
      <c r="E99" s="67" t="s">
        <v>82</v>
      </c>
      <c r="F99" s="67" t="s">
        <v>134</v>
      </c>
      <c r="G99" s="67"/>
      <c r="H99" s="53"/>
      <c r="I99" s="53"/>
      <c r="J99" s="53"/>
      <c r="K99" s="53"/>
      <c r="L99" s="53"/>
      <c r="M99" s="53"/>
      <c r="N99" s="53"/>
    </row>
    <row r="100" spans="1:14" x14ac:dyDescent="0.35">
      <c r="A100" s="2"/>
      <c r="B100" s="394"/>
      <c r="C100" s="48" t="s">
        <v>135</v>
      </c>
      <c r="D100" s="65">
        <v>13.4</v>
      </c>
      <c r="E100" s="52">
        <v>14.3</v>
      </c>
      <c r="F100" s="66">
        <v>13.84</v>
      </c>
      <c r="G100" s="71">
        <f>676.22/6064.12</f>
        <v>0.11151164554791133</v>
      </c>
      <c r="H100" s="53"/>
      <c r="I100" s="53"/>
      <c r="J100" s="53"/>
      <c r="K100" s="53"/>
      <c r="L100" s="53"/>
      <c r="M100" s="53"/>
      <c r="N100" s="53"/>
    </row>
    <row r="101" spans="1:14" x14ac:dyDescent="0.35">
      <c r="A101" s="2"/>
      <c r="B101" s="394"/>
      <c r="C101" s="3" t="s">
        <v>74</v>
      </c>
      <c r="D101" s="65">
        <v>9.5299999999999994</v>
      </c>
      <c r="E101" s="52">
        <f>E98+E100/2</f>
        <v>17.59</v>
      </c>
      <c r="F101" s="66"/>
      <c r="G101" s="66"/>
      <c r="H101" s="53"/>
      <c r="I101" s="53"/>
      <c r="J101" s="53"/>
      <c r="K101" s="57"/>
      <c r="L101" s="53"/>
      <c r="M101" s="53"/>
      <c r="N101" s="53"/>
    </row>
    <row r="102" spans="1:14" x14ac:dyDescent="0.35">
      <c r="A102" s="2"/>
      <c r="B102" s="58" t="s">
        <v>77</v>
      </c>
      <c r="C102" s="3" t="s">
        <v>131</v>
      </c>
      <c r="D102" s="65">
        <v>36.32</v>
      </c>
      <c r="E102" s="52">
        <v>13.54</v>
      </c>
      <c r="F102" s="66">
        <v>17.28</v>
      </c>
      <c r="G102" s="70">
        <f>1860.3/81.1</f>
        <v>22.9383477188656</v>
      </c>
      <c r="H102" s="53"/>
      <c r="I102" s="53"/>
      <c r="J102" s="53"/>
      <c r="K102" s="53"/>
      <c r="L102" s="53"/>
      <c r="M102" s="53"/>
      <c r="N102" s="53"/>
    </row>
    <row r="103" spans="1:14" x14ac:dyDescent="0.35">
      <c r="A103" s="2"/>
      <c r="B103" s="60"/>
      <c r="C103" s="3" t="s">
        <v>73</v>
      </c>
      <c r="D103" s="65"/>
      <c r="E103" s="52"/>
      <c r="F103" s="66"/>
      <c r="G103" s="66"/>
      <c r="H103" s="53"/>
      <c r="I103" s="53"/>
      <c r="J103" s="53"/>
      <c r="K103" s="53"/>
      <c r="L103" s="53"/>
      <c r="M103" s="53"/>
      <c r="N103" s="53"/>
    </row>
    <row r="104" spans="1:14" x14ac:dyDescent="0.35">
      <c r="A104" s="2"/>
      <c r="B104" s="60"/>
      <c r="C104" s="48" t="s">
        <v>132</v>
      </c>
      <c r="D104" s="65">
        <v>32.4</v>
      </c>
      <c r="E104" s="52">
        <v>35.06</v>
      </c>
      <c r="F104" s="66">
        <v>37.89</v>
      </c>
      <c r="G104" s="70">
        <f>36744.78/870.01</f>
        <v>42.234893851794808</v>
      </c>
      <c r="H104" s="53"/>
      <c r="I104" s="53"/>
      <c r="J104" s="53"/>
      <c r="K104" s="53"/>
      <c r="L104" s="53"/>
      <c r="M104" s="53"/>
      <c r="N104" s="53"/>
    </row>
    <row r="105" spans="1:14" x14ac:dyDescent="0.35">
      <c r="A105" s="2"/>
      <c r="B105" s="60"/>
      <c r="C105" s="48" t="s">
        <v>133</v>
      </c>
      <c r="D105" s="65">
        <v>233</v>
      </c>
      <c r="E105" s="52">
        <v>197.01</v>
      </c>
      <c r="F105" s="66">
        <v>123.92</v>
      </c>
      <c r="G105" s="66"/>
      <c r="H105" s="53"/>
      <c r="I105" s="53"/>
      <c r="J105" s="53"/>
      <c r="K105" s="53"/>
      <c r="L105" s="53"/>
      <c r="M105" s="53"/>
      <c r="N105" s="53"/>
    </row>
    <row r="106" spans="1:14" x14ac:dyDescent="0.35">
      <c r="A106" s="2"/>
      <c r="B106" s="60"/>
      <c r="C106" s="48" t="s">
        <v>135</v>
      </c>
      <c r="D106" s="65">
        <v>79.7</v>
      </c>
      <c r="E106" s="52">
        <v>101.44</v>
      </c>
      <c r="F106" s="66">
        <v>117.68</v>
      </c>
      <c r="G106" s="70">
        <f>6064.12/45.822</f>
        <v>132.34079699707564</v>
      </c>
      <c r="H106" s="53"/>
      <c r="I106" s="53"/>
      <c r="J106" s="53"/>
      <c r="K106" s="53"/>
      <c r="L106" s="53"/>
      <c r="M106" s="53"/>
      <c r="N106" s="53"/>
    </row>
    <row r="107" spans="1:14" x14ac:dyDescent="0.35">
      <c r="A107" s="2"/>
      <c r="B107" s="60"/>
      <c r="C107" s="3" t="s">
        <v>74</v>
      </c>
      <c r="D107" s="65">
        <v>115.03</v>
      </c>
      <c r="E107" s="55">
        <f>E104+E105+E106/3</f>
        <v>265.88333333333333</v>
      </c>
      <c r="F107" s="66"/>
      <c r="G107" s="66"/>
      <c r="H107" s="53"/>
      <c r="I107" s="53"/>
      <c r="J107" s="53"/>
      <c r="K107" s="53"/>
      <c r="L107" s="53"/>
      <c r="M107" s="53"/>
      <c r="N107" s="53"/>
    </row>
    <row r="108" spans="1:14" x14ac:dyDescent="0.4">
      <c r="A108" s="2"/>
      <c r="B108" s="415" t="s">
        <v>137</v>
      </c>
      <c r="C108" s="416"/>
      <c r="D108" s="416"/>
      <c r="E108" s="416"/>
      <c r="F108" s="416"/>
      <c r="G108" s="417"/>
      <c r="H108" s="53"/>
      <c r="I108" s="53"/>
      <c r="J108" s="53"/>
      <c r="K108" s="53"/>
      <c r="L108" s="53"/>
      <c r="M108" s="53"/>
      <c r="N108" s="53"/>
    </row>
    <row r="109" spans="1:14" x14ac:dyDescent="0.4">
      <c r="A109" s="2"/>
      <c r="B109" s="363" t="s">
        <v>138</v>
      </c>
      <c r="C109" s="368"/>
      <c r="D109" s="368"/>
      <c r="E109" s="368"/>
      <c r="F109" s="368"/>
      <c r="G109" s="369"/>
      <c r="H109" s="53"/>
      <c r="I109" s="53"/>
      <c r="J109" s="53"/>
      <c r="K109" s="53"/>
      <c r="L109" s="53"/>
      <c r="M109" s="53"/>
      <c r="N109" s="53"/>
    </row>
    <row r="110" spans="1:14" x14ac:dyDescent="0.4">
      <c r="A110" s="2"/>
      <c r="B110" s="418" t="s">
        <v>85</v>
      </c>
      <c r="C110" s="419"/>
      <c r="D110" s="419"/>
      <c r="E110" s="419"/>
      <c r="F110" s="419"/>
      <c r="G110" s="420"/>
      <c r="H110" s="53"/>
      <c r="I110" s="53"/>
      <c r="J110" s="53"/>
      <c r="K110" s="53"/>
      <c r="L110" s="53"/>
      <c r="M110" s="53"/>
      <c r="N110" s="53"/>
    </row>
    <row r="111" spans="1:14" x14ac:dyDescent="0.4">
      <c r="C111" s="407"/>
      <c r="D111" s="407"/>
      <c r="E111" s="407"/>
      <c r="F111" s="407"/>
      <c r="G111" s="407"/>
      <c r="H111" s="53"/>
      <c r="I111" s="53"/>
    </row>
    <row r="112" spans="1:14" x14ac:dyDescent="0.4">
      <c r="A112" s="9">
        <v>14</v>
      </c>
      <c r="B112" s="61" t="s">
        <v>78</v>
      </c>
      <c r="C112" s="356" t="s">
        <v>13</v>
      </c>
      <c r="D112" s="357"/>
      <c r="E112" s="357"/>
      <c r="F112" s="357"/>
      <c r="G112" s="408"/>
    </row>
    <row r="113" spans="1:8" x14ac:dyDescent="0.4">
      <c r="A113" s="23"/>
      <c r="C113" s="69"/>
      <c r="D113" s="69"/>
      <c r="E113" s="69"/>
      <c r="F113" s="69"/>
      <c r="G113" s="69"/>
    </row>
    <row r="114" spans="1:8" x14ac:dyDescent="0.4">
      <c r="B114" s="409" t="s">
        <v>139</v>
      </c>
      <c r="C114" s="410"/>
      <c r="D114" s="410"/>
      <c r="E114" s="410"/>
      <c r="F114" s="410"/>
      <c r="G114" s="410"/>
      <c r="H114" s="410"/>
    </row>
  </sheetData>
  <sheetProtection password="E9DF" sheet="1" objects="1" scenarios="1"/>
  <mergeCells count="59">
    <mergeCell ref="B114:H114"/>
    <mergeCell ref="B96:B101"/>
    <mergeCell ref="B108:G108"/>
    <mergeCell ref="B109:G109"/>
    <mergeCell ref="B110:G110"/>
    <mergeCell ref="C111:G111"/>
    <mergeCell ref="C112:G112"/>
    <mergeCell ref="B90:B95"/>
    <mergeCell ref="F69:H69"/>
    <mergeCell ref="I69:K69"/>
    <mergeCell ref="L69:N69"/>
    <mergeCell ref="B74:N74"/>
    <mergeCell ref="B75:N75"/>
    <mergeCell ref="B76:N76"/>
    <mergeCell ref="B69:B70"/>
    <mergeCell ref="C69:C70"/>
    <mergeCell ref="D69:D70"/>
    <mergeCell ref="E69:E70"/>
    <mergeCell ref="B77:N77"/>
    <mergeCell ref="B78:N78"/>
    <mergeCell ref="B79:N79"/>
    <mergeCell ref="B81:G81"/>
    <mergeCell ref="B84:B89"/>
    <mergeCell ref="C57:E57"/>
    <mergeCell ref="C58:E58"/>
    <mergeCell ref="B59:E59"/>
    <mergeCell ref="B60:E60"/>
    <mergeCell ref="C63:E63"/>
    <mergeCell ref="B48:E48"/>
    <mergeCell ref="B51:E51"/>
    <mergeCell ref="B53:E53"/>
    <mergeCell ref="B54:B56"/>
    <mergeCell ref="C54:E54"/>
    <mergeCell ref="C55:E55"/>
    <mergeCell ref="C56:E56"/>
    <mergeCell ref="B46:E46"/>
    <mergeCell ref="C22:E22"/>
    <mergeCell ref="B23:E23"/>
    <mergeCell ref="B26:E26"/>
    <mergeCell ref="B27:E27"/>
    <mergeCell ref="B33:E33"/>
    <mergeCell ref="B35:E35"/>
    <mergeCell ref="B39:C39"/>
    <mergeCell ref="B42:E42"/>
    <mergeCell ref="C43:E43"/>
    <mergeCell ref="C44:E44"/>
    <mergeCell ref="C45:E45"/>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99"/>
  <sheetViews>
    <sheetView topLeftCell="A91" workbookViewId="0">
      <selection activeCell="B75" sqref="B75:N75"/>
    </sheetView>
  </sheetViews>
  <sheetFormatPr defaultColWidth="8.84375" defaultRowHeight="13.25" x14ac:dyDescent="0.4"/>
  <cols>
    <col min="1" max="1" width="8.84375" style="8"/>
    <col min="2"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424</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425</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426</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427</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24.7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ht="12.7" customHeight="1" x14ac:dyDescent="0.4">
      <c r="A29" s="9"/>
      <c r="B29" s="19" t="s">
        <v>24</v>
      </c>
      <c r="C29" s="96">
        <v>5580.56</v>
      </c>
      <c r="D29" s="96">
        <v>7754</v>
      </c>
      <c r="E29" s="96">
        <v>6687.41</v>
      </c>
      <c r="F29" s="15"/>
    </row>
    <row r="30" spans="1:14" x14ac:dyDescent="0.4">
      <c r="A30" s="9"/>
      <c r="B30" s="19" t="s">
        <v>25</v>
      </c>
      <c r="C30" s="96">
        <v>215.09</v>
      </c>
      <c r="D30" s="96">
        <v>333.96</v>
      </c>
      <c r="E30" s="96">
        <v>173.87</v>
      </c>
      <c r="F30" s="15"/>
    </row>
    <row r="31" spans="1:14" x14ac:dyDescent="0.4">
      <c r="A31" s="9"/>
      <c r="B31" s="19" t="s">
        <v>26</v>
      </c>
      <c r="C31" s="96">
        <v>347.2</v>
      </c>
      <c r="D31" s="96">
        <v>347.2</v>
      </c>
      <c r="E31" s="96">
        <v>347.2</v>
      </c>
      <c r="F31" s="15"/>
    </row>
    <row r="32" spans="1:14" x14ac:dyDescent="0.4">
      <c r="A32" s="9"/>
      <c r="B32" s="19" t="s">
        <v>377</v>
      </c>
      <c r="C32" s="96">
        <v>1040.6099999999999</v>
      </c>
      <c r="D32" s="96">
        <v>1374.57</v>
      </c>
      <c r="E32" s="96">
        <v>1374.57</v>
      </c>
      <c r="F32" s="15"/>
    </row>
    <row r="33" spans="1:10" ht="12.7" customHeight="1" x14ac:dyDescent="0.4">
      <c r="A33" s="9"/>
      <c r="B33" s="363" t="s">
        <v>294</v>
      </c>
      <c r="C33" s="368"/>
      <c r="D33" s="368"/>
      <c r="E33" s="369"/>
      <c r="F33" s="15"/>
    </row>
    <row r="34" spans="1:10" x14ac:dyDescent="0.4">
      <c r="A34" s="9"/>
      <c r="B34" s="13"/>
      <c r="C34" s="15"/>
      <c r="D34" s="15"/>
      <c r="E34" s="15"/>
      <c r="F34" s="15"/>
    </row>
    <row r="35" spans="1:10" ht="26.3"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814</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446" t="s">
        <v>79</v>
      </c>
      <c r="D45" s="446"/>
      <c r="E45" s="446"/>
      <c r="F45" s="13"/>
    </row>
    <row r="46" spans="1:10" ht="12.7" customHeight="1" x14ac:dyDescent="0.4">
      <c r="A46" s="9"/>
      <c r="B46" s="363" t="s">
        <v>35</v>
      </c>
      <c r="C46" s="368"/>
      <c r="D46" s="368"/>
      <c r="E46" s="369"/>
      <c r="F46" s="13"/>
    </row>
    <row r="47" spans="1:10" x14ac:dyDescent="0.4">
      <c r="A47" s="2"/>
      <c r="D47" s="23"/>
      <c r="E47" s="13"/>
    </row>
    <row r="48" spans="1:10" ht="12.7" customHeight="1"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39.75" x14ac:dyDescent="0.4">
      <c r="A50" s="29"/>
      <c r="B50" s="78" t="s">
        <v>307</v>
      </c>
      <c r="C50" s="78" t="s">
        <v>428</v>
      </c>
      <c r="D50" s="28"/>
      <c r="E50" s="27"/>
    </row>
    <row r="51" spans="1:14" ht="12.7" customHeight="1" x14ac:dyDescent="0.4">
      <c r="A51" s="31"/>
      <c r="B51" s="380" t="s">
        <v>429</v>
      </c>
      <c r="C51" s="381"/>
      <c r="D51" s="381"/>
      <c r="E51" s="382"/>
      <c r="F51" s="15"/>
      <c r="G51" s="15"/>
      <c r="H51" s="15"/>
    </row>
    <row r="52" spans="1:14" x14ac:dyDescent="0.4">
      <c r="A52" s="32"/>
      <c r="B52" s="62"/>
      <c r="C52" s="23"/>
      <c r="D52" s="23"/>
      <c r="E52" s="23"/>
      <c r="F52" s="15"/>
      <c r="G52" s="15"/>
      <c r="H52" s="15"/>
      <c r="I52" s="15"/>
    </row>
    <row r="53" spans="1:14" ht="12.7" customHeight="1" x14ac:dyDescent="0.4">
      <c r="A53" s="24">
        <v>10</v>
      </c>
      <c r="B53" s="376" t="s">
        <v>36</v>
      </c>
      <c r="C53" s="365"/>
      <c r="D53" s="365"/>
      <c r="E53" s="365"/>
      <c r="F53" s="15"/>
      <c r="G53" s="15"/>
      <c r="H53" s="15"/>
    </row>
    <row r="54" spans="1:14" ht="12.7" customHeight="1" x14ac:dyDescent="0.4">
      <c r="A54" s="29"/>
      <c r="B54" s="383" t="s">
        <v>43</v>
      </c>
      <c r="C54" s="385" t="s">
        <v>430</v>
      </c>
      <c r="D54" s="386"/>
      <c r="E54" s="387"/>
      <c r="K54" s="1"/>
    </row>
    <row r="55" spans="1:14"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ht="12.7" customHeight="1" x14ac:dyDescent="0.4">
      <c r="A58" s="29"/>
      <c r="B58" s="380" t="s">
        <v>429</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ht="12.7" customHeight="1"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43"/>
      <c r="F64" s="43"/>
      <c r="G64" s="11"/>
      <c r="H64" s="11"/>
      <c r="I64" s="11"/>
      <c r="J64" s="11"/>
      <c r="K64" s="11"/>
      <c r="L64" s="11"/>
      <c r="M64" s="11"/>
      <c r="N64" s="11"/>
    </row>
    <row r="65" spans="1:14" x14ac:dyDescent="0.4">
      <c r="A65" s="9"/>
      <c r="B65" s="17" t="s">
        <v>52</v>
      </c>
      <c r="C65" s="19" t="s">
        <v>431</v>
      </c>
      <c r="D65" s="15"/>
      <c r="E65" s="15"/>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ht="27.05" customHeight="1" x14ac:dyDescent="0.4">
      <c r="A67" s="9"/>
      <c r="B67" s="365" t="s">
        <v>53</v>
      </c>
      <c r="C67" s="366" t="s">
        <v>432</v>
      </c>
      <c r="D67" s="366" t="s">
        <v>271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103</v>
      </c>
      <c r="C69" s="45">
        <v>72</v>
      </c>
      <c r="D69" s="46">
        <v>60</v>
      </c>
      <c r="E69" s="46">
        <v>51</v>
      </c>
      <c r="F69" s="46">
        <v>48</v>
      </c>
      <c r="G69" s="46">
        <v>86.4</v>
      </c>
      <c r="H69" s="45">
        <v>42.05</v>
      </c>
      <c r="I69" s="45">
        <v>25</v>
      </c>
      <c r="J69" s="45">
        <v>55.95</v>
      </c>
      <c r="K69" s="45">
        <v>21</v>
      </c>
      <c r="L69" s="45">
        <v>12.75</v>
      </c>
      <c r="M69" s="45">
        <v>36.200000000000003</v>
      </c>
      <c r="N69" s="45">
        <v>12.75</v>
      </c>
    </row>
    <row r="70" spans="1:14" ht="25.65" x14ac:dyDescent="0.4">
      <c r="A70" s="2"/>
      <c r="B70" s="17" t="s">
        <v>104</v>
      </c>
      <c r="C70" s="45">
        <v>9674.5499999999993</v>
      </c>
      <c r="D70" s="45">
        <v>10057.4</v>
      </c>
      <c r="E70" s="45">
        <v>9914.9</v>
      </c>
      <c r="F70" s="46">
        <v>10113.700000000001</v>
      </c>
      <c r="G70" s="46">
        <v>11171.55</v>
      </c>
      <c r="H70" s="46">
        <v>9075.15</v>
      </c>
      <c r="I70" s="45">
        <v>11623.9</v>
      </c>
      <c r="J70" s="45">
        <v>11760.2</v>
      </c>
      <c r="K70" s="45">
        <v>10004.549999999999</v>
      </c>
      <c r="L70" s="45">
        <v>8597.75</v>
      </c>
      <c r="M70" s="45">
        <v>12430.5</v>
      </c>
      <c r="N70" s="45">
        <v>7511.1</v>
      </c>
    </row>
    <row r="71" spans="1:14" x14ac:dyDescent="0.4">
      <c r="A71" s="2"/>
      <c r="B71" s="401" t="s">
        <v>94</v>
      </c>
      <c r="C71" s="401"/>
      <c r="D71" s="401"/>
      <c r="E71" s="401"/>
      <c r="F71" s="401"/>
      <c r="G71" s="401"/>
      <c r="H71" s="401"/>
      <c r="I71" s="401"/>
      <c r="J71" s="401"/>
      <c r="K71" s="401"/>
      <c r="L71" s="401"/>
      <c r="M71" s="401"/>
      <c r="N71" s="401"/>
    </row>
    <row r="72" spans="1:14" ht="12.7" customHeight="1" x14ac:dyDescent="0.4">
      <c r="A72" s="2"/>
      <c r="B72" s="359" t="s">
        <v>63</v>
      </c>
      <c r="C72" s="359"/>
      <c r="D72" s="359"/>
      <c r="E72" s="359"/>
      <c r="F72" s="359"/>
      <c r="G72" s="359"/>
      <c r="H72" s="359"/>
      <c r="I72" s="359"/>
      <c r="J72" s="359"/>
      <c r="K72" s="359"/>
      <c r="L72" s="359"/>
      <c r="M72" s="359"/>
      <c r="N72" s="359"/>
    </row>
    <row r="73" spans="1:14" s="1" customFormat="1" ht="12.7" customHeight="1" x14ac:dyDescent="0.4">
      <c r="B73" s="359" t="s">
        <v>64</v>
      </c>
      <c r="C73" s="359"/>
      <c r="D73" s="359"/>
      <c r="E73" s="359"/>
      <c r="F73" s="359"/>
      <c r="G73" s="359"/>
      <c r="H73" s="359"/>
      <c r="I73" s="359"/>
      <c r="J73" s="359"/>
      <c r="K73" s="359"/>
      <c r="L73" s="359"/>
      <c r="M73" s="359"/>
      <c r="N73" s="359"/>
    </row>
    <row r="74" spans="1:14" ht="12.7" customHeight="1" x14ac:dyDescent="0.4">
      <c r="A74" s="2"/>
      <c r="B74" s="359" t="s">
        <v>358</v>
      </c>
      <c r="C74" s="359"/>
      <c r="D74" s="359"/>
      <c r="E74" s="359"/>
      <c r="F74" s="359"/>
      <c r="G74" s="359"/>
      <c r="H74" s="359"/>
      <c r="I74" s="359"/>
      <c r="J74" s="359"/>
      <c r="K74" s="359"/>
      <c r="L74" s="359"/>
      <c r="M74" s="359"/>
      <c r="N74" s="359"/>
    </row>
    <row r="75" spans="1:14" ht="12.7" customHeight="1"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ht="12.7" customHeight="1"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102.5" x14ac:dyDescent="0.4">
      <c r="A79" s="2"/>
      <c r="B79" s="50" t="s">
        <v>67</v>
      </c>
      <c r="C79" s="18" t="s">
        <v>68</v>
      </c>
      <c r="D79" s="18" t="s">
        <v>69</v>
      </c>
      <c r="E79" s="18" t="s">
        <v>382</v>
      </c>
      <c r="F79" s="18" t="s">
        <v>71</v>
      </c>
      <c r="G79" s="18" t="s">
        <v>107</v>
      </c>
      <c r="H79" s="13"/>
      <c r="I79" s="13"/>
      <c r="J79" s="13"/>
      <c r="K79" s="13"/>
      <c r="L79" s="13"/>
      <c r="M79" s="13"/>
      <c r="N79" s="13"/>
    </row>
    <row r="80" spans="1:14" ht="12.7" customHeight="1" x14ac:dyDescent="0.35">
      <c r="A80" s="2"/>
      <c r="B80" s="394" t="s">
        <v>72</v>
      </c>
      <c r="C80" s="3" t="s">
        <v>433</v>
      </c>
      <c r="D80" s="65">
        <v>7.36</v>
      </c>
      <c r="E80" s="65">
        <v>6.42</v>
      </c>
      <c r="F80" s="20">
        <v>9.6199999999999992</v>
      </c>
      <c r="G80" s="20">
        <v>5.01</v>
      </c>
      <c r="H80" s="53"/>
      <c r="I80" s="53"/>
      <c r="J80" s="53"/>
      <c r="K80" s="53"/>
      <c r="L80" s="53"/>
      <c r="M80" s="53"/>
      <c r="N80" s="53"/>
    </row>
    <row r="81" spans="1:14" x14ac:dyDescent="0.4">
      <c r="A81" s="2"/>
      <c r="B81" s="394"/>
      <c r="C81" s="3" t="s">
        <v>73</v>
      </c>
      <c r="D81" s="54" t="s">
        <v>83</v>
      </c>
      <c r="E81" s="54" t="s">
        <v>83</v>
      </c>
      <c r="F81" s="54" t="s">
        <v>83</v>
      </c>
      <c r="G81" s="54" t="s">
        <v>83</v>
      </c>
      <c r="H81" s="53"/>
      <c r="I81" s="53"/>
      <c r="J81" s="53"/>
      <c r="K81" s="53"/>
      <c r="L81" s="53"/>
      <c r="M81" s="53"/>
      <c r="N81" s="53"/>
    </row>
    <row r="82" spans="1:14" x14ac:dyDescent="0.4">
      <c r="A82" s="2"/>
      <c r="B82" s="394"/>
      <c r="C82" s="3" t="s">
        <v>74</v>
      </c>
      <c r="D82" s="76"/>
      <c r="E82" s="76"/>
      <c r="F82" s="20"/>
      <c r="G82" s="20"/>
      <c r="H82" s="53"/>
      <c r="I82" s="53"/>
      <c r="J82" s="53"/>
      <c r="K82" s="53"/>
      <c r="L82" s="53"/>
      <c r="M82" s="53"/>
      <c r="N82" s="53"/>
    </row>
    <row r="83" spans="1:14" x14ac:dyDescent="0.35">
      <c r="A83" s="2"/>
      <c r="B83" s="394" t="s">
        <v>75</v>
      </c>
      <c r="C83" s="3" t="s">
        <v>434</v>
      </c>
      <c r="D83" s="77">
        <v>5.77</v>
      </c>
      <c r="E83" s="77">
        <v>7.47</v>
      </c>
      <c r="F83" s="101">
        <f>I69/F80</f>
        <v>2.5987525987525988</v>
      </c>
      <c r="G83" s="101">
        <f>L69/G80</f>
        <v>2.5449101796407185</v>
      </c>
      <c r="H83" s="53"/>
      <c r="I83" s="53"/>
      <c r="J83" s="53"/>
      <c r="K83" s="53"/>
      <c r="L83" s="53"/>
      <c r="M83" s="53"/>
      <c r="N83" s="53"/>
    </row>
    <row r="84" spans="1:14" x14ac:dyDescent="0.4">
      <c r="A84" s="2"/>
      <c r="B84" s="394"/>
      <c r="C84" s="3" t="s">
        <v>73</v>
      </c>
      <c r="D84" s="54" t="s">
        <v>83</v>
      </c>
      <c r="E84" s="54" t="s">
        <v>83</v>
      </c>
      <c r="F84" s="54" t="s">
        <v>83</v>
      </c>
      <c r="G84" s="54" t="s">
        <v>83</v>
      </c>
      <c r="H84" s="53"/>
      <c r="I84" s="53"/>
      <c r="J84" s="53"/>
      <c r="K84" s="53"/>
      <c r="L84" s="53"/>
      <c r="M84" s="53"/>
      <c r="N84" s="53"/>
    </row>
    <row r="85" spans="1:14" x14ac:dyDescent="0.4">
      <c r="A85" s="2"/>
      <c r="B85" s="394"/>
      <c r="C85" s="3" t="s">
        <v>74</v>
      </c>
      <c r="D85" s="76"/>
      <c r="E85" s="76"/>
      <c r="F85" s="20"/>
      <c r="G85" s="20"/>
      <c r="H85" s="53"/>
      <c r="I85" s="53"/>
      <c r="J85" s="53"/>
      <c r="K85" s="53"/>
      <c r="L85" s="53"/>
      <c r="M85" s="53"/>
      <c r="N85" s="53"/>
    </row>
    <row r="86" spans="1:14" x14ac:dyDescent="0.35">
      <c r="A86" s="2"/>
      <c r="B86" s="394" t="s">
        <v>76</v>
      </c>
      <c r="C86" s="3" t="s">
        <v>434</v>
      </c>
      <c r="D86" s="65">
        <v>61.91</v>
      </c>
      <c r="E86" s="65">
        <v>15.5</v>
      </c>
      <c r="F86" s="101">
        <f>33395886/172177315*100</f>
        <v>19.396217207824389</v>
      </c>
      <c r="G86" s="101">
        <f>17387217/189564532*100</f>
        <v>9.1721889198133333</v>
      </c>
      <c r="H86" s="53"/>
      <c r="I86" s="53"/>
      <c r="J86" s="53"/>
      <c r="K86" s="53"/>
      <c r="L86" s="53"/>
      <c r="M86" s="53"/>
      <c r="N86" s="53"/>
    </row>
    <row r="87" spans="1:14" x14ac:dyDescent="0.4">
      <c r="A87" s="2"/>
      <c r="B87" s="394"/>
      <c r="C87" s="3" t="s">
        <v>73</v>
      </c>
      <c r="D87" s="54" t="s">
        <v>83</v>
      </c>
      <c r="E87" s="54" t="s">
        <v>83</v>
      </c>
      <c r="F87" s="54" t="s">
        <v>83</v>
      </c>
      <c r="G87" s="54" t="s">
        <v>83</v>
      </c>
      <c r="H87" s="53"/>
      <c r="I87" s="53"/>
      <c r="J87" s="53"/>
      <c r="K87" s="53"/>
      <c r="L87" s="53"/>
      <c r="M87" s="53"/>
      <c r="N87" s="53"/>
    </row>
    <row r="88" spans="1:14" x14ac:dyDescent="0.4">
      <c r="A88" s="2"/>
      <c r="B88" s="394"/>
      <c r="C88" s="3" t="s">
        <v>74</v>
      </c>
      <c r="D88" s="76"/>
      <c r="E88" s="76"/>
      <c r="F88" s="20"/>
      <c r="G88" s="20"/>
      <c r="H88" s="53"/>
      <c r="I88" s="53"/>
      <c r="J88" s="53"/>
      <c r="K88" s="57"/>
      <c r="L88" s="53"/>
      <c r="M88" s="53"/>
      <c r="N88" s="53"/>
    </row>
    <row r="89" spans="1:14" x14ac:dyDescent="0.35">
      <c r="A89" s="2"/>
      <c r="B89" s="394" t="s">
        <v>77</v>
      </c>
      <c r="C89" s="3" t="s">
        <v>434</v>
      </c>
      <c r="D89" s="65">
        <v>31.64</v>
      </c>
      <c r="E89" s="65">
        <v>39.97</v>
      </c>
      <c r="F89" s="101">
        <f>172177315/3472000</f>
        <v>49.590240495391704</v>
      </c>
      <c r="G89" s="101">
        <f>189564532/3472000</f>
        <v>54.59807949308756</v>
      </c>
      <c r="H89" s="53"/>
      <c r="I89" s="53"/>
      <c r="J89" s="53"/>
      <c r="K89" s="53"/>
      <c r="L89" s="53"/>
      <c r="M89" s="53"/>
      <c r="N89" s="53"/>
    </row>
    <row r="90" spans="1:14" x14ac:dyDescent="0.4">
      <c r="A90" s="2"/>
      <c r="B90" s="394"/>
      <c r="C90" s="3" t="s">
        <v>73</v>
      </c>
      <c r="D90" s="54" t="s">
        <v>83</v>
      </c>
      <c r="E90" s="54" t="s">
        <v>83</v>
      </c>
      <c r="F90" s="54" t="s">
        <v>83</v>
      </c>
      <c r="G90" s="54" t="s">
        <v>83</v>
      </c>
      <c r="H90" s="53"/>
      <c r="I90" s="53"/>
      <c r="J90" s="53"/>
      <c r="K90" s="53"/>
      <c r="L90" s="53"/>
      <c r="M90" s="53"/>
      <c r="N90" s="53"/>
    </row>
    <row r="91" spans="1:14" x14ac:dyDescent="0.4">
      <c r="A91" s="2"/>
      <c r="B91" s="411"/>
      <c r="C91" s="3" t="s">
        <v>74</v>
      </c>
      <c r="D91" s="76"/>
      <c r="E91" s="76"/>
      <c r="F91" s="21"/>
      <c r="G91" s="21"/>
      <c r="H91" s="53"/>
      <c r="I91" s="53"/>
      <c r="J91" s="53"/>
      <c r="K91" s="53"/>
      <c r="L91" s="53"/>
      <c r="M91" s="53"/>
      <c r="N91" s="53"/>
    </row>
    <row r="92" spans="1:14" s="1" customFormat="1" x14ac:dyDescent="0.4">
      <c r="B92" s="412"/>
      <c r="C92" s="413"/>
      <c r="D92" s="413"/>
      <c r="E92" s="413"/>
      <c r="F92" s="413"/>
      <c r="G92" s="414"/>
    </row>
    <row r="93" spans="1:14" ht="12.7" customHeight="1" x14ac:dyDescent="0.4">
      <c r="A93" s="2"/>
      <c r="B93" s="415" t="s">
        <v>435</v>
      </c>
      <c r="C93" s="416"/>
      <c r="D93" s="416"/>
      <c r="E93" s="416"/>
      <c r="F93" s="416"/>
      <c r="G93" s="417"/>
      <c r="H93" s="53"/>
      <c r="I93" s="53"/>
      <c r="J93" s="53"/>
      <c r="K93" s="53"/>
      <c r="L93" s="53"/>
      <c r="M93" s="53"/>
      <c r="N93" s="53"/>
    </row>
    <row r="94" spans="1:14" ht="12.7" customHeight="1" x14ac:dyDescent="0.4">
      <c r="A94" s="2"/>
      <c r="B94" s="418" t="s">
        <v>85</v>
      </c>
      <c r="C94" s="419"/>
      <c r="D94" s="419"/>
      <c r="E94" s="419"/>
      <c r="F94" s="419"/>
      <c r="G94" s="420"/>
      <c r="H94" s="53"/>
      <c r="I94" s="53"/>
      <c r="J94" s="53"/>
      <c r="K94" s="53"/>
      <c r="L94" s="53"/>
      <c r="M94" s="53"/>
      <c r="N94" s="53"/>
    </row>
    <row r="95" spans="1:14" ht="12.7" customHeight="1" x14ac:dyDescent="0.4">
      <c r="A95" s="2"/>
      <c r="B95" s="363" t="s">
        <v>304</v>
      </c>
      <c r="C95" s="368"/>
      <c r="D95" s="368"/>
      <c r="E95" s="368"/>
      <c r="F95" s="368"/>
      <c r="G95" s="369"/>
      <c r="H95" s="53"/>
      <c r="I95" s="53"/>
      <c r="J95" s="53"/>
      <c r="K95" s="53"/>
      <c r="L95" s="53"/>
      <c r="M95" s="53"/>
      <c r="N95" s="53"/>
    </row>
    <row r="96" spans="1:14" x14ac:dyDescent="0.4">
      <c r="C96" s="407"/>
      <c r="D96" s="407"/>
      <c r="E96" s="407"/>
      <c r="F96" s="407"/>
      <c r="G96" s="407"/>
      <c r="H96" s="53"/>
      <c r="I96" s="53"/>
    </row>
    <row r="97" spans="1:8" x14ac:dyDescent="0.4">
      <c r="A97" s="9">
        <v>14</v>
      </c>
      <c r="B97" s="61" t="s">
        <v>78</v>
      </c>
      <c r="C97" s="356" t="s">
        <v>41</v>
      </c>
      <c r="D97" s="357"/>
      <c r="E97" s="357"/>
      <c r="F97" s="357"/>
      <c r="G97" s="408"/>
    </row>
    <row r="98" spans="1:8" x14ac:dyDescent="0.4">
      <c r="A98" s="23"/>
      <c r="C98" s="69"/>
      <c r="D98" s="69"/>
      <c r="E98" s="69"/>
      <c r="F98" s="69"/>
      <c r="G98" s="69"/>
    </row>
    <row r="99" spans="1:8" ht="12.7" customHeight="1" x14ac:dyDescent="0.4">
      <c r="B99" s="409" t="s">
        <v>436</v>
      </c>
      <c r="C99" s="410"/>
      <c r="D99" s="410"/>
      <c r="E99" s="410"/>
      <c r="F99" s="410"/>
      <c r="G99" s="410"/>
      <c r="H99" s="410"/>
    </row>
  </sheetData>
  <sheetProtection password="EB7F" sheet="1" objects="1" scenarios="1"/>
  <mergeCells count="58">
    <mergeCell ref="B99:H99"/>
    <mergeCell ref="B92:G92"/>
    <mergeCell ref="B93:G93"/>
    <mergeCell ref="B94:G94"/>
    <mergeCell ref="B95:G95"/>
    <mergeCell ref="C96:G96"/>
    <mergeCell ref="C97:G97"/>
    <mergeCell ref="B74:N74"/>
    <mergeCell ref="B75:N75"/>
    <mergeCell ref="B77:G77"/>
    <mergeCell ref="B80:B82"/>
    <mergeCell ref="B83:B85"/>
    <mergeCell ref="B86:B88"/>
    <mergeCell ref="B89:B91"/>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115"/>
  <sheetViews>
    <sheetView topLeftCell="A112" workbookViewId="0">
      <selection activeCell="C19" sqref="C19:E19"/>
    </sheetView>
  </sheetViews>
  <sheetFormatPr defaultColWidth="8.84375" defaultRowHeight="13.25" x14ac:dyDescent="0.4"/>
  <cols>
    <col min="1" max="1" width="8.84375" style="8"/>
    <col min="2" max="3" width="40.84375" style="8" customWidth="1"/>
    <col min="4" max="4" width="21.30468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437</v>
      </c>
    </row>
    <row r="4" spans="1:5" x14ac:dyDescent="0.4">
      <c r="D4" s="5"/>
    </row>
    <row r="5" spans="1:5" ht="21" customHeight="1" x14ac:dyDescent="0.4">
      <c r="A5" s="6">
        <v>1</v>
      </c>
      <c r="B5" s="7" t="s">
        <v>3</v>
      </c>
      <c r="C5" s="356" t="s">
        <v>197</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438</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439</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427</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12.7"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202</v>
      </c>
      <c r="D28" s="18" t="s">
        <v>22</v>
      </c>
      <c r="E28" s="18" t="s">
        <v>23</v>
      </c>
      <c r="F28" s="15"/>
    </row>
    <row r="29" spans="1:14" ht="12.7" customHeight="1" x14ac:dyDescent="0.4">
      <c r="A29" s="9"/>
      <c r="B29" s="19" t="s">
        <v>24</v>
      </c>
      <c r="C29" s="21">
        <v>1915.68</v>
      </c>
      <c r="D29" s="21">
        <v>2700.1</v>
      </c>
      <c r="E29" s="21">
        <v>3388.24</v>
      </c>
      <c r="F29" s="15"/>
    </row>
    <row r="30" spans="1:14" x14ac:dyDescent="0.4">
      <c r="A30" s="9"/>
      <c r="B30" s="19" t="s">
        <v>25</v>
      </c>
      <c r="C30" s="21">
        <v>120.75</v>
      </c>
      <c r="D30" s="21">
        <v>93.64</v>
      </c>
      <c r="E30" s="21">
        <v>174.92</v>
      </c>
      <c r="F30" s="15"/>
    </row>
    <row r="31" spans="1:14" x14ac:dyDescent="0.4">
      <c r="A31" s="9"/>
      <c r="B31" s="19" t="s">
        <v>26</v>
      </c>
      <c r="C31" s="21">
        <v>510.5</v>
      </c>
      <c r="D31" s="21">
        <v>510.5</v>
      </c>
      <c r="E31" s="21">
        <v>1021.01</v>
      </c>
      <c r="F31" s="15"/>
    </row>
    <row r="32" spans="1:14" x14ac:dyDescent="0.4">
      <c r="A32" s="9"/>
      <c r="B32" s="19" t="s">
        <v>27</v>
      </c>
      <c r="C32" s="21">
        <v>523.13</v>
      </c>
      <c r="D32" s="21">
        <v>598.30999999999995</v>
      </c>
      <c r="E32" s="21">
        <v>250.42</v>
      </c>
      <c r="F32" s="15"/>
    </row>
    <row r="33" spans="1:10" ht="12.7" customHeight="1" x14ac:dyDescent="0.4">
      <c r="A33" s="9"/>
      <c r="B33" s="363" t="s">
        <v>440</v>
      </c>
      <c r="C33" s="368"/>
      <c r="D33" s="368"/>
      <c r="E33" s="369"/>
      <c r="F33" s="15"/>
    </row>
    <row r="34" spans="1:10" x14ac:dyDescent="0.4">
      <c r="A34" s="9"/>
      <c r="B34" s="13"/>
      <c r="C34" s="15"/>
      <c r="D34" s="15"/>
      <c r="E34" s="15"/>
      <c r="F34" s="15"/>
    </row>
    <row r="35" spans="1:10" ht="12.7"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814</v>
      </c>
      <c r="D38" s="13"/>
      <c r="E38" s="13"/>
      <c r="F38" s="13"/>
    </row>
    <row r="39" spans="1:10" x14ac:dyDescent="0.4">
      <c r="A39" s="9"/>
      <c r="B39" s="359" t="s">
        <v>17</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446" t="s">
        <v>79</v>
      </c>
      <c r="D45" s="446"/>
      <c r="E45" s="446"/>
      <c r="F45" s="13"/>
    </row>
    <row r="46" spans="1:10" ht="12.7" customHeight="1" x14ac:dyDescent="0.4">
      <c r="A46" s="9"/>
      <c r="B46" s="363" t="s">
        <v>35</v>
      </c>
      <c r="C46" s="368"/>
      <c r="D46" s="368"/>
      <c r="E46" s="369"/>
      <c r="F46" s="13"/>
    </row>
    <row r="47" spans="1:10" x14ac:dyDescent="0.4">
      <c r="A47" s="2"/>
      <c r="D47" s="23"/>
      <c r="E47" s="13"/>
    </row>
    <row r="48" spans="1:10" ht="12.7" customHeight="1"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84.7" customHeight="1" x14ac:dyDescent="0.4">
      <c r="A50" s="29"/>
      <c r="B50" s="78" t="s">
        <v>307</v>
      </c>
      <c r="C50" s="78" t="s">
        <v>441</v>
      </c>
      <c r="D50" s="78" t="s">
        <v>441</v>
      </c>
      <c r="E50" s="78" t="s">
        <v>41</v>
      </c>
    </row>
    <row r="51" spans="1:14" ht="12.7" customHeight="1" x14ac:dyDescent="0.4">
      <c r="A51" s="31"/>
      <c r="B51" s="380" t="s">
        <v>170</v>
      </c>
      <c r="C51" s="381"/>
      <c r="D51" s="381"/>
      <c r="E51" s="382"/>
      <c r="F51" s="15"/>
      <c r="G51" s="15"/>
      <c r="H51" s="15"/>
    </row>
    <row r="52" spans="1:14" x14ac:dyDescent="0.4">
      <c r="A52" s="32"/>
      <c r="B52" s="62"/>
      <c r="C52" s="23"/>
      <c r="D52" s="23"/>
      <c r="E52" s="23"/>
      <c r="F52" s="15"/>
      <c r="G52" s="15"/>
      <c r="H52" s="15"/>
      <c r="I52" s="15"/>
    </row>
    <row r="53" spans="1:14" ht="12.7" customHeight="1" x14ac:dyDescent="0.4">
      <c r="A53" s="24">
        <v>10</v>
      </c>
      <c r="B53" s="376" t="s">
        <v>36</v>
      </c>
      <c r="C53" s="365"/>
      <c r="D53" s="365"/>
      <c r="E53" s="365"/>
      <c r="F53" s="15"/>
      <c r="G53" s="15"/>
      <c r="H53" s="15"/>
    </row>
    <row r="54" spans="1:14" ht="12.7" customHeight="1" x14ac:dyDescent="0.4">
      <c r="A54" s="29"/>
      <c r="B54" s="383" t="s">
        <v>43</v>
      </c>
      <c r="C54" s="385" t="s">
        <v>442</v>
      </c>
      <c r="D54" s="386"/>
      <c r="E54" s="387"/>
      <c r="K54" s="1"/>
    </row>
    <row r="55" spans="1:14" ht="26.3" customHeight="1" x14ac:dyDescent="0.4">
      <c r="A55" s="29"/>
      <c r="B55" s="384"/>
      <c r="C55" s="388"/>
      <c r="D55" s="389"/>
      <c r="E55" s="390"/>
      <c r="K55" s="1"/>
    </row>
    <row r="56" spans="1:14" ht="43.55" customHeight="1" x14ac:dyDescent="0.4">
      <c r="A56" s="24"/>
      <c r="B56" s="33" t="s">
        <v>44</v>
      </c>
      <c r="C56" s="391" t="s">
        <v>748</v>
      </c>
      <c r="D56" s="391"/>
      <c r="E56" s="391"/>
    </row>
    <row r="57" spans="1:14" x14ac:dyDescent="0.4">
      <c r="A57" s="29"/>
      <c r="B57" s="33" t="s">
        <v>45</v>
      </c>
      <c r="C57" s="391" t="s">
        <v>46</v>
      </c>
      <c r="D57" s="391"/>
      <c r="E57" s="391"/>
      <c r="K57" s="34"/>
    </row>
    <row r="58" spans="1:14" ht="12.7" customHeight="1" x14ac:dyDescent="0.4">
      <c r="A58" s="29"/>
      <c r="B58" s="380" t="s">
        <v>170</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ht="12.7" customHeight="1"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43"/>
      <c r="F64" s="43"/>
      <c r="G64" s="11"/>
      <c r="H64" s="11"/>
      <c r="I64" s="11"/>
      <c r="J64" s="11"/>
      <c r="K64" s="11"/>
      <c r="L64" s="11"/>
      <c r="M64" s="11"/>
      <c r="N64" s="11"/>
    </row>
    <row r="65" spans="1:14" x14ac:dyDescent="0.4">
      <c r="A65" s="9"/>
      <c r="B65" s="17" t="s">
        <v>52</v>
      </c>
      <c r="C65" s="19" t="s">
        <v>298</v>
      </c>
      <c r="D65" s="15"/>
      <c r="E65" s="15"/>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ht="12.7" customHeight="1" x14ac:dyDescent="0.4">
      <c r="A67" s="9"/>
      <c r="B67" s="365" t="s">
        <v>53</v>
      </c>
      <c r="C67" s="366" t="s">
        <v>443</v>
      </c>
      <c r="D67" s="366" t="s">
        <v>271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61</v>
      </c>
      <c r="C69" s="45">
        <v>48</v>
      </c>
      <c r="D69" s="46">
        <v>45</v>
      </c>
      <c r="E69" s="46">
        <v>49.4</v>
      </c>
      <c r="F69" s="46">
        <v>59.25</v>
      </c>
      <c r="G69" s="46">
        <v>70.05</v>
      </c>
      <c r="H69" s="45">
        <v>42.85</v>
      </c>
      <c r="I69" s="45">
        <v>41</v>
      </c>
      <c r="J69" s="45">
        <v>62.5</v>
      </c>
      <c r="K69" s="45">
        <v>40</v>
      </c>
      <c r="L69" s="45">
        <v>15.35</v>
      </c>
      <c r="M69" s="45">
        <v>60</v>
      </c>
      <c r="N69" s="45">
        <v>15.35</v>
      </c>
    </row>
    <row r="70" spans="1:14" ht="25.65" x14ac:dyDescent="0.35">
      <c r="A70" s="2"/>
      <c r="B70" s="17" t="s">
        <v>444</v>
      </c>
      <c r="C70" s="45">
        <v>32575.17</v>
      </c>
      <c r="D70" s="45">
        <v>31646.46</v>
      </c>
      <c r="E70" s="45">
        <v>33266.160000000003</v>
      </c>
      <c r="F70" s="46">
        <v>32968.68</v>
      </c>
      <c r="G70" s="46">
        <v>36443.980000000003</v>
      </c>
      <c r="H70" s="48">
        <v>29241.48</v>
      </c>
      <c r="I70" s="45">
        <v>38672.910000000003</v>
      </c>
      <c r="J70" s="45">
        <v>38989.65</v>
      </c>
      <c r="K70" s="45">
        <v>32972.559999999998</v>
      </c>
      <c r="L70" s="45">
        <v>8597.75</v>
      </c>
      <c r="M70" s="45">
        <v>12430.5</v>
      </c>
      <c r="N70" s="45">
        <v>7511.1</v>
      </c>
    </row>
    <row r="71" spans="1:14" x14ac:dyDescent="0.4">
      <c r="A71" s="2"/>
      <c r="B71" s="401" t="s">
        <v>17</v>
      </c>
      <c r="C71" s="401"/>
      <c r="D71" s="401"/>
      <c r="E71" s="401"/>
      <c r="F71" s="401"/>
      <c r="G71" s="401"/>
      <c r="H71" s="401"/>
      <c r="I71" s="401"/>
      <c r="J71" s="401"/>
      <c r="K71" s="401"/>
      <c r="L71" s="401"/>
      <c r="M71" s="401"/>
      <c r="N71" s="401"/>
    </row>
    <row r="72" spans="1:14" ht="12.7" customHeight="1" x14ac:dyDescent="0.4">
      <c r="A72" s="2"/>
      <c r="B72" s="359" t="s">
        <v>63</v>
      </c>
      <c r="C72" s="359"/>
      <c r="D72" s="359"/>
      <c r="E72" s="359"/>
      <c r="F72" s="359"/>
      <c r="G72" s="359"/>
      <c r="H72" s="359"/>
      <c r="I72" s="359"/>
      <c r="J72" s="359"/>
      <c r="K72" s="359"/>
      <c r="L72" s="359"/>
      <c r="M72" s="359"/>
      <c r="N72" s="359"/>
    </row>
    <row r="73" spans="1:14" s="1" customFormat="1" ht="12.7" customHeight="1" x14ac:dyDescent="0.4">
      <c r="B73" s="359" t="s">
        <v>64</v>
      </c>
      <c r="C73" s="359"/>
      <c r="D73" s="359"/>
      <c r="E73" s="359"/>
      <c r="F73" s="359"/>
      <c r="G73" s="359"/>
      <c r="H73" s="359"/>
      <c r="I73" s="359"/>
      <c r="J73" s="359"/>
      <c r="K73" s="359"/>
      <c r="L73" s="359"/>
      <c r="M73" s="359"/>
      <c r="N73" s="359"/>
    </row>
    <row r="74" spans="1:14" ht="12.7" customHeight="1" x14ac:dyDescent="0.4">
      <c r="A74" s="2"/>
      <c r="B74" s="359" t="s">
        <v>358</v>
      </c>
      <c r="C74" s="359"/>
      <c r="D74" s="359"/>
      <c r="E74" s="359"/>
      <c r="F74" s="359"/>
      <c r="G74" s="359"/>
      <c r="H74" s="359"/>
      <c r="I74" s="359"/>
      <c r="J74" s="359"/>
      <c r="K74" s="359"/>
      <c r="L74" s="359"/>
      <c r="M74" s="359"/>
      <c r="N74" s="359"/>
    </row>
    <row r="75" spans="1:14" ht="12.7" customHeight="1"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ht="12.7" customHeight="1"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64.05" x14ac:dyDescent="0.4">
      <c r="A79" s="2"/>
      <c r="B79" s="50" t="s">
        <v>67</v>
      </c>
      <c r="C79" s="18" t="s">
        <v>68</v>
      </c>
      <c r="D79" s="18" t="s">
        <v>69</v>
      </c>
      <c r="E79" s="18" t="s">
        <v>218</v>
      </c>
      <c r="F79" s="18" t="s">
        <v>71</v>
      </c>
      <c r="G79" s="18" t="s">
        <v>107</v>
      </c>
      <c r="H79" s="13"/>
      <c r="I79" s="13"/>
      <c r="J79" s="13"/>
      <c r="K79" s="13"/>
      <c r="L79" s="13"/>
      <c r="M79" s="13"/>
      <c r="N79" s="13"/>
    </row>
    <row r="80" spans="1:14" ht="15.05" customHeight="1" x14ac:dyDescent="0.4">
      <c r="A80" s="2"/>
      <c r="B80" s="394" t="s">
        <v>72</v>
      </c>
      <c r="C80" s="3" t="s">
        <v>445</v>
      </c>
      <c r="D80" s="98">
        <v>5.86</v>
      </c>
      <c r="E80" s="98">
        <v>2.54</v>
      </c>
      <c r="F80" s="20">
        <v>1.83</v>
      </c>
      <c r="G80" s="20">
        <v>1.71</v>
      </c>
      <c r="H80" s="53"/>
      <c r="I80" s="53"/>
      <c r="J80" s="53"/>
      <c r="K80" s="53"/>
      <c r="L80" s="53"/>
      <c r="M80" s="53"/>
      <c r="N80" s="53"/>
    </row>
    <row r="81" spans="1:14" x14ac:dyDescent="0.4">
      <c r="A81" s="2"/>
      <c r="B81" s="394"/>
      <c r="C81" s="3" t="s">
        <v>73</v>
      </c>
      <c r="D81" s="54"/>
      <c r="E81" s="159"/>
      <c r="F81" s="20"/>
      <c r="G81" s="20"/>
      <c r="H81" s="53"/>
      <c r="I81" s="53"/>
      <c r="J81" s="53"/>
      <c r="K81" s="53"/>
      <c r="L81" s="53"/>
      <c r="M81" s="53"/>
      <c r="N81" s="53"/>
    </row>
    <row r="82" spans="1:14" x14ac:dyDescent="0.4">
      <c r="A82" s="2"/>
      <c r="B82" s="394"/>
      <c r="C82" s="21" t="s">
        <v>446</v>
      </c>
      <c r="D82" s="54">
        <v>4.91</v>
      </c>
      <c r="E82" s="159">
        <v>3.85</v>
      </c>
      <c r="F82" s="20">
        <v>12.81</v>
      </c>
      <c r="G82" s="20">
        <v>7.5</v>
      </c>
      <c r="H82" s="53"/>
      <c r="I82" s="53"/>
      <c r="J82" s="53"/>
      <c r="K82" s="53"/>
      <c r="L82" s="53"/>
      <c r="M82" s="53"/>
      <c r="N82" s="53"/>
    </row>
    <row r="83" spans="1:14" x14ac:dyDescent="0.4">
      <c r="A83" s="2"/>
      <c r="B83" s="394"/>
      <c r="C83" s="21" t="s">
        <v>447</v>
      </c>
      <c r="D83" s="54">
        <v>0.63</v>
      </c>
      <c r="E83" s="136">
        <v>-18.899999999999999</v>
      </c>
      <c r="F83" s="20">
        <v>-13.55</v>
      </c>
      <c r="G83" s="20">
        <v>0.99</v>
      </c>
      <c r="H83" s="53"/>
      <c r="I83" s="53"/>
      <c r="J83" s="53"/>
      <c r="K83" s="53"/>
      <c r="L83" s="53"/>
      <c r="M83" s="53"/>
      <c r="N83" s="53"/>
    </row>
    <row r="84" spans="1:14" ht="15.8" customHeight="1" x14ac:dyDescent="0.4">
      <c r="A84" s="2"/>
      <c r="B84" s="394"/>
      <c r="C84" s="21" t="s">
        <v>448</v>
      </c>
      <c r="D84" s="54" t="s">
        <v>449</v>
      </c>
      <c r="E84" s="159">
        <v>15.96</v>
      </c>
      <c r="F84" s="20">
        <v>19.95</v>
      </c>
      <c r="G84" s="20">
        <v>-1.34</v>
      </c>
      <c r="H84" s="53"/>
      <c r="I84" s="53"/>
      <c r="J84" s="53"/>
      <c r="K84" s="53"/>
      <c r="L84" s="53"/>
      <c r="M84" s="53"/>
      <c r="N84" s="53"/>
    </row>
    <row r="85" spans="1:14" ht="15.05" customHeight="1" x14ac:dyDescent="0.4">
      <c r="A85" s="2"/>
      <c r="B85" s="394"/>
      <c r="C85" s="21" t="s">
        <v>450</v>
      </c>
      <c r="D85" s="54" t="s">
        <v>451</v>
      </c>
      <c r="E85" s="159">
        <v>3.82</v>
      </c>
      <c r="F85" s="101">
        <v>4</v>
      </c>
      <c r="G85" s="101">
        <v>2.58</v>
      </c>
      <c r="H85" s="53"/>
      <c r="I85" s="53"/>
      <c r="J85" s="53"/>
      <c r="K85" s="53"/>
      <c r="L85" s="53"/>
      <c r="M85" s="53"/>
      <c r="N85" s="53"/>
    </row>
    <row r="86" spans="1:14" x14ac:dyDescent="0.4">
      <c r="A86" s="2"/>
      <c r="B86" s="394"/>
      <c r="C86" s="3" t="s">
        <v>74</v>
      </c>
      <c r="D86" s="127">
        <f>SUM(D82:D85)/4</f>
        <v>1.385</v>
      </c>
      <c r="E86" s="127">
        <f>SUM(E82:E85)/4</f>
        <v>1.1825000000000006</v>
      </c>
      <c r="F86" s="127">
        <f>SUM(F82:F85)/4</f>
        <v>5.8025000000000002</v>
      </c>
      <c r="G86" s="127">
        <f>SUM(G82:G85)/4</f>
        <v>2.4325000000000001</v>
      </c>
      <c r="H86" s="53"/>
      <c r="I86" s="53"/>
      <c r="J86" s="53"/>
      <c r="K86" s="53"/>
      <c r="L86" s="53"/>
      <c r="M86" s="53"/>
      <c r="N86" s="53"/>
    </row>
    <row r="87" spans="1:14" x14ac:dyDescent="0.35">
      <c r="A87" s="2"/>
      <c r="B87" s="394" t="s">
        <v>75</v>
      </c>
      <c r="C87" s="3" t="s">
        <v>445</v>
      </c>
      <c r="D87" s="77">
        <v>6.83</v>
      </c>
      <c r="E87" s="137">
        <f>F69/E80</f>
        <v>23.326771653543307</v>
      </c>
      <c r="F87" s="101">
        <f>I69/F80</f>
        <v>22.404371584699454</v>
      </c>
      <c r="G87" s="101">
        <f>L69/G80</f>
        <v>8.9766081871345023</v>
      </c>
      <c r="H87" s="53"/>
      <c r="I87" s="53"/>
      <c r="J87" s="53"/>
      <c r="K87" s="53"/>
      <c r="L87" s="53"/>
      <c r="M87" s="53"/>
      <c r="N87" s="53"/>
    </row>
    <row r="88" spans="1:14" x14ac:dyDescent="0.4">
      <c r="A88" s="2"/>
      <c r="B88" s="394"/>
      <c r="C88" s="3" t="s">
        <v>73</v>
      </c>
      <c r="D88" s="54"/>
      <c r="E88" s="159"/>
      <c r="F88" s="20"/>
      <c r="G88" s="20"/>
      <c r="H88" s="53"/>
      <c r="I88" s="53"/>
      <c r="J88" s="53"/>
      <c r="K88" s="53"/>
      <c r="L88" s="53"/>
      <c r="M88" s="53"/>
      <c r="N88" s="53"/>
    </row>
    <row r="89" spans="1:14" x14ac:dyDescent="0.4">
      <c r="A89" s="2"/>
      <c r="B89" s="394"/>
      <c r="C89" s="21" t="s">
        <v>446</v>
      </c>
      <c r="D89" s="54">
        <v>22</v>
      </c>
      <c r="E89" s="159">
        <f>112.05/E82</f>
        <v>29.103896103896101</v>
      </c>
      <c r="F89" s="101">
        <f>140.1/F82</f>
        <v>10.936768149882903</v>
      </c>
      <c r="G89" s="101">
        <v>14.96</v>
      </c>
      <c r="H89" s="53"/>
      <c r="I89" s="53"/>
      <c r="J89" s="53"/>
      <c r="K89" s="53"/>
      <c r="L89" s="53"/>
      <c r="M89" s="53"/>
      <c r="N89" s="53"/>
    </row>
    <row r="90" spans="1:14" x14ac:dyDescent="0.4">
      <c r="A90" s="2"/>
      <c r="B90" s="394"/>
      <c r="C90" s="21" t="s">
        <v>447</v>
      </c>
      <c r="D90" s="54">
        <v>80.56</v>
      </c>
      <c r="E90" s="136" t="s">
        <v>84</v>
      </c>
      <c r="F90" s="101">
        <f>9.5/F83</f>
        <v>-0.70110701107011064</v>
      </c>
      <c r="G90" s="101"/>
      <c r="H90" s="53"/>
      <c r="I90" s="53"/>
      <c r="J90" s="53"/>
      <c r="K90" s="53"/>
      <c r="L90" s="53"/>
      <c r="M90" s="53"/>
      <c r="N90" s="53"/>
    </row>
    <row r="91" spans="1:14" x14ac:dyDescent="0.4">
      <c r="A91" s="2"/>
      <c r="B91" s="394"/>
      <c r="C91" s="21" t="s">
        <v>448</v>
      </c>
      <c r="D91" s="54">
        <v>32.33</v>
      </c>
      <c r="E91" s="159">
        <f>407.45/E84</f>
        <v>25.529448621553883</v>
      </c>
      <c r="F91" s="101">
        <f>290.6/F84</f>
        <v>14.566416040100252</v>
      </c>
      <c r="G91" s="101">
        <v>0</v>
      </c>
      <c r="H91" s="53"/>
      <c r="I91" s="53"/>
      <c r="J91" s="53"/>
      <c r="K91" s="53"/>
      <c r="L91" s="53"/>
      <c r="M91" s="53"/>
      <c r="N91" s="53"/>
    </row>
    <row r="92" spans="1:14" x14ac:dyDescent="0.4">
      <c r="A92" s="2"/>
      <c r="B92" s="394"/>
      <c r="C92" s="21" t="s">
        <v>450</v>
      </c>
      <c r="D92" s="54">
        <v>23.34</v>
      </c>
      <c r="E92" s="159">
        <f>107/E85</f>
        <v>28.010471204188484</v>
      </c>
      <c r="F92" s="101">
        <f>75.95/F85</f>
        <v>18.987500000000001</v>
      </c>
      <c r="G92" s="101">
        <v>26.95</v>
      </c>
      <c r="H92" s="53"/>
      <c r="I92" s="53"/>
      <c r="J92" s="53"/>
      <c r="K92" s="53"/>
      <c r="L92" s="53"/>
      <c r="M92" s="53"/>
      <c r="N92" s="53"/>
    </row>
    <row r="93" spans="1:14" x14ac:dyDescent="0.4">
      <c r="A93" s="2"/>
      <c r="B93" s="394"/>
      <c r="C93" s="3" t="s">
        <v>74</v>
      </c>
      <c r="D93" s="127">
        <f>SUM(D89:D92)/4</f>
        <v>39.557499999999997</v>
      </c>
      <c r="E93" s="127">
        <f t="shared" ref="E93:F93" si="0">SUM(E89:E92)/4</f>
        <v>20.660953982409616</v>
      </c>
      <c r="F93" s="127">
        <f t="shared" si="0"/>
        <v>10.947394294728262</v>
      </c>
      <c r="G93" s="127"/>
      <c r="H93" s="53"/>
      <c r="I93" s="53"/>
      <c r="J93" s="53"/>
      <c r="K93" s="53"/>
      <c r="L93" s="53"/>
      <c r="M93" s="53"/>
      <c r="N93" s="53"/>
    </row>
    <row r="94" spans="1:14" x14ac:dyDescent="0.35">
      <c r="A94" s="2"/>
      <c r="B94" s="394" t="s">
        <v>76</v>
      </c>
      <c r="C94" s="3" t="s">
        <v>445</v>
      </c>
      <c r="D94" s="65">
        <v>23.19</v>
      </c>
      <c r="E94" s="142">
        <f>120.75/1033.63</f>
        <v>0.11682129969137892</v>
      </c>
      <c r="F94" s="101">
        <f>93.64/1108.81*100</f>
        <v>8.4450897809363195</v>
      </c>
      <c r="G94" s="101">
        <f>174.92/1271.42*100</f>
        <v>13.757845558509382</v>
      </c>
      <c r="H94" s="53"/>
      <c r="I94" s="53"/>
      <c r="J94" s="53"/>
      <c r="K94" s="53"/>
      <c r="L94" s="53"/>
      <c r="M94" s="53"/>
      <c r="N94" s="53"/>
    </row>
    <row r="95" spans="1:14" x14ac:dyDescent="0.4">
      <c r="A95" s="2"/>
      <c r="B95" s="394"/>
      <c r="C95" s="3" t="s">
        <v>73</v>
      </c>
      <c r="D95" s="54"/>
      <c r="E95" s="159"/>
      <c r="F95" s="20"/>
      <c r="G95" s="20"/>
      <c r="H95" s="53"/>
      <c r="I95" s="53"/>
      <c r="J95" s="53"/>
      <c r="K95" s="53"/>
      <c r="L95" s="53"/>
      <c r="M95" s="53"/>
      <c r="N95" s="53"/>
    </row>
    <row r="96" spans="1:14" x14ac:dyDescent="0.4">
      <c r="A96" s="2"/>
      <c r="B96" s="394"/>
      <c r="C96" s="21" t="s">
        <v>446</v>
      </c>
      <c r="D96" s="54">
        <v>7.36</v>
      </c>
      <c r="E96" s="143">
        <f>110.92/2148.87*100</f>
        <v>5.1617827043981261</v>
      </c>
      <c r="F96" s="101">
        <f>369.1/2490.89*100</f>
        <v>14.817996780267295</v>
      </c>
      <c r="G96" s="101">
        <v>8.3800000000000008</v>
      </c>
      <c r="H96" s="53"/>
      <c r="I96" s="53"/>
      <c r="J96" s="53"/>
      <c r="K96" s="53"/>
      <c r="L96" s="53"/>
      <c r="M96" s="53"/>
      <c r="N96" s="53"/>
    </row>
    <row r="97" spans="1:14" x14ac:dyDescent="0.4">
      <c r="A97" s="2"/>
      <c r="B97" s="394"/>
      <c r="C97" s="21" t="s">
        <v>447</v>
      </c>
      <c r="D97" s="54">
        <v>1.17</v>
      </c>
      <c r="E97" s="101">
        <f>-653.45/1188.49*100</f>
        <v>-54.981531186631784</v>
      </c>
      <c r="F97" s="144">
        <f>-468.48/733.54*100</f>
        <v>-63.865637865692406</v>
      </c>
      <c r="G97" s="144">
        <f>34.18/739.02*100</f>
        <v>4.6250439771589402</v>
      </c>
      <c r="H97" s="53"/>
      <c r="I97" s="53"/>
      <c r="J97" s="53"/>
      <c r="K97" s="53"/>
      <c r="L97" s="53"/>
      <c r="M97" s="53"/>
      <c r="N97" s="53"/>
    </row>
    <row r="98" spans="1:14" x14ac:dyDescent="0.4">
      <c r="A98" s="2"/>
      <c r="B98" s="394"/>
      <c r="C98" s="21" t="s">
        <v>448</v>
      </c>
      <c r="D98" s="54">
        <v>7.75</v>
      </c>
      <c r="E98" s="143">
        <f>798.05/6655.58*100</f>
        <v>11.990690518331986</v>
      </c>
      <c r="F98" s="101">
        <f>997.61/7500.73*100</f>
        <v>13.300172116580653</v>
      </c>
      <c r="G98" s="101">
        <v>-0.91</v>
      </c>
      <c r="H98" s="53"/>
      <c r="I98" s="53"/>
      <c r="J98" s="53"/>
      <c r="K98" s="53"/>
      <c r="L98" s="53"/>
      <c r="M98" s="53"/>
      <c r="N98" s="53"/>
    </row>
    <row r="99" spans="1:14" x14ac:dyDescent="0.4">
      <c r="A99" s="2"/>
      <c r="B99" s="394"/>
      <c r="C99" s="21" t="s">
        <v>450</v>
      </c>
      <c r="D99" s="54">
        <v>2.82</v>
      </c>
      <c r="E99" s="143">
        <f>84.26/4410.78*100</f>
        <v>1.9103197166940997</v>
      </c>
      <c r="F99" s="101">
        <f>233.72/4586.34*100</f>
        <v>5.096002476920594</v>
      </c>
      <c r="G99" s="101">
        <v>2.86</v>
      </c>
      <c r="H99" s="53"/>
      <c r="I99" s="53"/>
      <c r="J99" s="53"/>
      <c r="K99" s="53"/>
      <c r="L99" s="53"/>
      <c r="M99" s="53"/>
      <c r="N99" s="53"/>
    </row>
    <row r="100" spans="1:14" x14ac:dyDescent="0.4">
      <c r="A100" s="2"/>
      <c r="B100" s="394"/>
      <c r="C100" s="3" t="s">
        <v>74</v>
      </c>
      <c r="D100" s="127">
        <f>SUM(D96:D99)/4</f>
        <v>4.7750000000000004</v>
      </c>
      <c r="E100" s="127">
        <f t="shared" ref="E100:G100" si="1">SUM(E96:E99)/4</f>
        <v>-8.9796845618018928</v>
      </c>
      <c r="F100" s="127">
        <f t="shared" si="1"/>
        <v>-7.6628666229809657</v>
      </c>
      <c r="G100" s="127">
        <f t="shared" si="1"/>
        <v>3.7387609942897351</v>
      </c>
      <c r="H100" s="53"/>
      <c r="I100" s="53"/>
      <c r="J100" s="53"/>
      <c r="K100" s="57"/>
      <c r="L100" s="53"/>
      <c r="M100" s="53"/>
      <c r="N100" s="53"/>
    </row>
    <row r="101" spans="1:14" x14ac:dyDescent="0.35">
      <c r="A101" s="2"/>
      <c r="B101" s="394" t="s">
        <v>77</v>
      </c>
      <c r="C101" s="3" t="s">
        <v>445</v>
      </c>
      <c r="D101" s="65">
        <v>13.87</v>
      </c>
      <c r="E101" s="137">
        <f>1033.63/51.05</f>
        <v>20.247404505386879</v>
      </c>
      <c r="F101" s="101">
        <f>1108.81*100000/5105000</f>
        <v>21.72007835455436</v>
      </c>
      <c r="G101" s="101">
        <f>1271.42/102.101</f>
        <v>12.452571473345023</v>
      </c>
      <c r="H101" s="53"/>
      <c r="I101" s="53"/>
      <c r="J101" s="53"/>
      <c r="K101" s="53"/>
      <c r="L101" s="53"/>
      <c r="M101" s="53"/>
      <c r="N101" s="53"/>
    </row>
    <row r="102" spans="1:14" x14ac:dyDescent="0.4">
      <c r="A102" s="2"/>
      <c r="B102" s="394"/>
      <c r="C102" s="3" t="s">
        <v>73</v>
      </c>
      <c r="D102" s="54"/>
      <c r="E102" s="159"/>
      <c r="F102" s="101"/>
      <c r="G102" s="101"/>
      <c r="H102" s="53"/>
      <c r="I102" s="53"/>
      <c r="J102" s="53"/>
      <c r="K102" s="53"/>
      <c r="L102" s="53"/>
      <c r="M102" s="53"/>
      <c r="N102" s="53"/>
    </row>
    <row r="103" spans="1:14" x14ac:dyDescent="0.4">
      <c r="A103" s="2"/>
      <c r="B103" s="411"/>
      <c r="C103" s="21" t="s">
        <v>446</v>
      </c>
      <c r="D103" s="54">
        <v>70.78</v>
      </c>
      <c r="E103" s="159">
        <f>2148.87/28.8</f>
        <v>74.613541666666663</v>
      </c>
      <c r="F103" s="101">
        <f>2490.89*100000/2880700</f>
        <v>86.468219529975357</v>
      </c>
      <c r="G103" s="101">
        <v>92.73</v>
      </c>
      <c r="H103" s="53"/>
      <c r="I103" s="53"/>
      <c r="J103" s="53"/>
      <c r="K103" s="53"/>
      <c r="L103" s="53"/>
      <c r="M103" s="53"/>
      <c r="N103" s="53"/>
    </row>
    <row r="104" spans="1:14" x14ac:dyDescent="0.4">
      <c r="A104" s="2"/>
      <c r="B104" s="411"/>
      <c r="C104" s="21" t="s">
        <v>447</v>
      </c>
      <c r="D104" s="54">
        <v>53.6</v>
      </c>
      <c r="E104" s="136">
        <f>1188.49*100000/3457200</f>
        <v>34.377241698484326</v>
      </c>
      <c r="F104" s="101">
        <f>733.54*100000/3457200</f>
        <v>21.217748466967489</v>
      </c>
      <c r="G104" s="101">
        <f>739.02/34.572</f>
        <v>21.37625824366539</v>
      </c>
      <c r="H104" s="53"/>
      <c r="I104" s="53"/>
      <c r="J104" s="53"/>
      <c r="K104" s="53"/>
      <c r="L104" s="53"/>
      <c r="M104" s="53"/>
      <c r="N104" s="53"/>
    </row>
    <row r="105" spans="1:14" x14ac:dyDescent="0.4">
      <c r="A105" s="2"/>
      <c r="B105" s="411"/>
      <c r="C105" s="21" t="s">
        <v>448</v>
      </c>
      <c r="D105" s="54">
        <v>110.84</v>
      </c>
      <c r="E105" s="159">
        <f>6655.58/50</f>
        <v>133.11160000000001</v>
      </c>
      <c r="F105" s="101">
        <f>7500.73*100000/5000000</f>
        <v>150.0146</v>
      </c>
      <c r="G105" s="101">
        <v>146.12</v>
      </c>
      <c r="H105" s="53"/>
      <c r="I105" s="53"/>
      <c r="J105" s="53"/>
      <c r="K105" s="53"/>
      <c r="L105" s="53"/>
      <c r="M105" s="53"/>
      <c r="N105" s="53"/>
    </row>
    <row r="106" spans="1:14" x14ac:dyDescent="0.4">
      <c r="A106" s="2"/>
      <c r="B106" s="411"/>
      <c r="C106" s="21" t="s">
        <v>450</v>
      </c>
      <c r="D106" s="54">
        <v>93.55</v>
      </c>
      <c r="E106" s="159">
        <f>4410.78/25.7</f>
        <v>171.62568093385212</v>
      </c>
      <c r="F106" s="101">
        <f>4586.34*100000/2570700</f>
        <v>178.40821566110398</v>
      </c>
      <c r="G106" s="101">
        <v>91.3</v>
      </c>
      <c r="H106" s="53"/>
      <c r="I106" s="53"/>
      <c r="J106" s="53"/>
      <c r="K106" s="53"/>
      <c r="L106" s="53"/>
      <c r="M106" s="53"/>
      <c r="N106" s="53"/>
    </row>
    <row r="107" spans="1:14" x14ac:dyDescent="0.4">
      <c r="A107" s="2"/>
      <c r="B107" s="411"/>
      <c r="C107" s="3" t="s">
        <v>74</v>
      </c>
      <c r="D107" s="127">
        <f>SUM(D103:D106)/4</f>
        <v>82.192499999999995</v>
      </c>
      <c r="E107" s="127">
        <f t="shared" ref="E107:G107" si="2">SUM(E103:E106)/4</f>
        <v>103.43201607475078</v>
      </c>
      <c r="F107" s="127">
        <f t="shared" si="2"/>
        <v>109.02719591451171</v>
      </c>
      <c r="G107" s="127">
        <f t="shared" si="2"/>
        <v>87.881564560916345</v>
      </c>
      <c r="H107" s="53"/>
      <c r="I107" s="53"/>
      <c r="J107" s="53"/>
      <c r="K107" s="53"/>
      <c r="L107" s="53"/>
      <c r="M107" s="53"/>
      <c r="N107" s="53"/>
    </row>
    <row r="108" spans="1:14" s="1" customFormat="1" x14ac:dyDescent="0.4">
      <c r="B108" s="412"/>
      <c r="C108" s="413"/>
      <c r="D108" s="413"/>
      <c r="E108" s="413"/>
      <c r="F108" s="413"/>
      <c r="G108" s="414"/>
    </row>
    <row r="109" spans="1:14" ht="12.7" customHeight="1" x14ac:dyDescent="0.4">
      <c r="A109" s="2"/>
      <c r="B109" s="415" t="s">
        <v>452</v>
      </c>
      <c r="C109" s="416"/>
      <c r="D109" s="416"/>
      <c r="E109" s="416"/>
      <c r="F109" s="416"/>
      <c r="G109" s="417"/>
      <c r="H109" s="53"/>
      <c r="I109" s="53"/>
      <c r="J109" s="53"/>
      <c r="K109" s="53"/>
      <c r="L109" s="53"/>
      <c r="M109" s="53"/>
      <c r="N109" s="53"/>
    </row>
    <row r="110" spans="1:14" ht="12.7" customHeight="1" x14ac:dyDescent="0.4">
      <c r="A110" s="2"/>
      <c r="B110" s="418" t="s">
        <v>85</v>
      </c>
      <c r="C110" s="419"/>
      <c r="D110" s="419"/>
      <c r="E110" s="419"/>
      <c r="F110" s="419"/>
      <c r="G110" s="420"/>
      <c r="H110" s="53"/>
      <c r="I110" s="53"/>
      <c r="J110" s="53"/>
      <c r="K110" s="53"/>
      <c r="L110" s="53"/>
      <c r="M110" s="53"/>
      <c r="N110" s="53"/>
    </row>
    <row r="111" spans="1:14" x14ac:dyDescent="0.4">
      <c r="A111" s="2"/>
      <c r="B111" s="363"/>
      <c r="C111" s="368"/>
      <c r="D111" s="368"/>
      <c r="E111" s="368"/>
      <c r="F111" s="368"/>
      <c r="G111" s="369"/>
      <c r="H111" s="53"/>
      <c r="I111" s="53"/>
      <c r="J111" s="53"/>
      <c r="K111" s="53"/>
      <c r="L111" s="53"/>
      <c r="M111" s="53"/>
      <c r="N111" s="53"/>
    </row>
    <row r="112" spans="1:14" x14ac:dyDescent="0.4">
      <c r="C112" s="407"/>
      <c r="D112" s="407"/>
      <c r="E112" s="407"/>
      <c r="F112" s="407"/>
      <c r="G112" s="407"/>
      <c r="H112" s="53"/>
      <c r="I112" s="53"/>
    </row>
    <row r="113" spans="1:8" x14ac:dyDescent="0.4">
      <c r="A113" s="9">
        <v>14</v>
      </c>
      <c r="B113" s="61" t="s">
        <v>78</v>
      </c>
      <c r="C113" s="356" t="s">
        <v>41</v>
      </c>
      <c r="D113" s="357"/>
      <c r="E113" s="357"/>
      <c r="F113" s="357"/>
      <c r="G113" s="408"/>
    </row>
    <row r="114" spans="1:8" x14ac:dyDescent="0.4">
      <c r="A114" s="23"/>
      <c r="C114" s="69"/>
      <c r="D114" s="69"/>
      <c r="E114" s="69"/>
      <c r="F114" s="69"/>
      <c r="G114" s="69"/>
    </row>
    <row r="115" spans="1:8" ht="12.7" customHeight="1" x14ac:dyDescent="0.4">
      <c r="B115" s="409" t="s">
        <v>453</v>
      </c>
      <c r="C115" s="410"/>
      <c r="D115" s="410"/>
      <c r="E115" s="410"/>
      <c r="F115" s="410"/>
      <c r="G115" s="410"/>
      <c r="H115" s="410"/>
    </row>
  </sheetData>
  <sheetProtection password="EB7F" sheet="1" objects="1" scenarios="1"/>
  <mergeCells count="58">
    <mergeCell ref="B115:H115"/>
    <mergeCell ref="B108:G108"/>
    <mergeCell ref="B109:G109"/>
    <mergeCell ref="B110:G110"/>
    <mergeCell ref="B111:G111"/>
    <mergeCell ref="C112:G112"/>
    <mergeCell ref="C113:G113"/>
    <mergeCell ref="B74:N74"/>
    <mergeCell ref="B75:N75"/>
    <mergeCell ref="B77:G77"/>
    <mergeCell ref="B80:B86"/>
    <mergeCell ref="B87:B93"/>
    <mergeCell ref="B94:B100"/>
    <mergeCell ref="B101:B107"/>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11"/>
  <sheetViews>
    <sheetView topLeftCell="F52" workbookViewId="0">
      <selection activeCell="B75" sqref="B75:N75"/>
    </sheetView>
  </sheetViews>
  <sheetFormatPr defaultColWidth="8.84375" defaultRowHeight="13.25" x14ac:dyDescent="0.4"/>
  <cols>
    <col min="1" max="1" width="8.84375" style="8"/>
    <col min="2"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454</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455</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456</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427</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12.7" customHeight="1" x14ac:dyDescent="0.4">
      <c r="A26" s="9">
        <v>6</v>
      </c>
      <c r="B26" s="365" t="s">
        <v>18</v>
      </c>
      <c r="C26" s="365"/>
      <c r="D26" s="365"/>
      <c r="E26" s="365"/>
      <c r="F26" s="11"/>
      <c r="G26" s="11"/>
      <c r="H26" s="13"/>
      <c r="I26" s="11"/>
      <c r="J26" s="11"/>
    </row>
    <row r="27" spans="1:14" x14ac:dyDescent="0.4">
      <c r="A27" s="9"/>
      <c r="B27" s="370" t="s">
        <v>749</v>
      </c>
      <c r="C27" s="371"/>
      <c r="D27" s="371"/>
      <c r="E27" s="372"/>
      <c r="F27" s="15"/>
    </row>
    <row r="28" spans="1:14" x14ac:dyDescent="0.4">
      <c r="A28" s="9"/>
      <c r="B28" s="17" t="s">
        <v>20</v>
      </c>
      <c r="C28" s="18" t="s">
        <v>202</v>
      </c>
      <c r="D28" s="18" t="s">
        <v>22</v>
      </c>
      <c r="E28" s="18" t="s">
        <v>293</v>
      </c>
      <c r="F28" s="15"/>
    </row>
    <row r="29" spans="1:14" ht="12.7" customHeight="1" x14ac:dyDescent="0.4">
      <c r="A29" s="9"/>
      <c r="B29" s="19" t="s">
        <v>24</v>
      </c>
      <c r="C29" s="101">
        <f>1345576836/100000</f>
        <v>13455.76836</v>
      </c>
      <c r="D29" s="113">
        <v>16698.27</v>
      </c>
      <c r="E29" s="113">
        <v>14600.39</v>
      </c>
      <c r="F29" s="15"/>
    </row>
    <row r="30" spans="1:14" x14ac:dyDescent="0.4">
      <c r="A30" s="9"/>
      <c r="B30" s="19" t="s">
        <v>25</v>
      </c>
      <c r="C30" s="101">
        <f>48904880/100000</f>
        <v>489.04880000000003</v>
      </c>
      <c r="D30" s="20">
        <v>733.78</v>
      </c>
      <c r="E30" s="20">
        <v>47.34</v>
      </c>
      <c r="F30" s="15"/>
    </row>
    <row r="31" spans="1:14" x14ac:dyDescent="0.4">
      <c r="A31" s="9"/>
      <c r="B31" s="19" t="s">
        <v>26</v>
      </c>
      <c r="C31" s="101">
        <f>74040000/100000</f>
        <v>740.4</v>
      </c>
      <c r="D31" s="101">
        <f>74040000/100000</f>
        <v>740.4</v>
      </c>
      <c r="E31" s="101">
        <v>1110.5999999999999</v>
      </c>
      <c r="F31" s="15"/>
    </row>
    <row r="32" spans="1:14" x14ac:dyDescent="0.4">
      <c r="A32" s="9"/>
      <c r="B32" s="19" t="s">
        <v>27</v>
      </c>
      <c r="C32" s="101">
        <f>159433692/100000</f>
        <v>1594.33692</v>
      </c>
      <c r="D32" s="20">
        <v>2298.19</v>
      </c>
      <c r="E32" s="20">
        <v>2010.34</v>
      </c>
      <c r="F32" s="15"/>
    </row>
    <row r="33" spans="1:10" x14ac:dyDescent="0.4">
      <c r="A33" s="9"/>
      <c r="B33" s="363" t="s">
        <v>458</v>
      </c>
      <c r="C33" s="368"/>
      <c r="D33" s="368"/>
      <c r="E33" s="369"/>
      <c r="F33" s="15"/>
    </row>
    <row r="34" spans="1:10" x14ac:dyDescent="0.4">
      <c r="A34" s="9"/>
      <c r="B34" s="13"/>
      <c r="C34" s="15"/>
      <c r="D34" s="15"/>
      <c r="E34" s="15"/>
      <c r="F34" s="15"/>
    </row>
    <row r="35" spans="1:10" ht="30.7" customHeight="1" x14ac:dyDescent="0.4">
      <c r="A35" s="9">
        <v>7</v>
      </c>
      <c r="B35" s="405" t="s">
        <v>28</v>
      </c>
      <c r="C35" s="406"/>
      <c r="D35" s="406"/>
      <c r="E35" s="376"/>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814</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13</v>
      </c>
      <c r="D44" s="374"/>
      <c r="E44" s="375"/>
      <c r="F44" s="13"/>
    </row>
    <row r="45" spans="1:10" x14ac:dyDescent="0.4">
      <c r="A45" s="9"/>
      <c r="B45" s="17" t="s">
        <v>32</v>
      </c>
      <c r="C45" s="446" t="s">
        <v>816</v>
      </c>
      <c r="D45" s="446"/>
      <c r="E45" s="446"/>
      <c r="F45" s="13"/>
    </row>
    <row r="46" spans="1:10" ht="12.7" customHeight="1" x14ac:dyDescent="0.4">
      <c r="A46" s="9"/>
      <c r="B46" s="363" t="s">
        <v>35</v>
      </c>
      <c r="C46" s="368"/>
      <c r="D46" s="368"/>
      <c r="E46" s="369"/>
      <c r="F46" s="13"/>
    </row>
    <row r="47" spans="1:10" x14ac:dyDescent="0.4">
      <c r="A47" s="2"/>
      <c r="D47" s="23"/>
      <c r="E47" s="13"/>
    </row>
    <row r="48" spans="1:10" ht="12.7" customHeight="1"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53" x14ac:dyDescent="0.4">
      <c r="A50" s="29"/>
      <c r="B50" s="78" t="s">
        <v>307</v>
      </c>
      <c r="C50" s="78" t="s">
        <v>459</v>
      </c>
      <c r="D50" s="28"/>
      <c r="E50" s="27"/>
    </row>
    <row r="51" spans="1:14" ht="12.7" customHeight="1" x14ac:dyDescent="0.4">
      <c r="A51" s="31"/>
      <c r="B51" s="380" t="s">
        <v>460</v>
      </c>
      <c r="C51" s="381"/>
      <c r="D51" s="381"/>
      <c r="E51" s="382"/>
      <c r="F51" s="15"/>
      <c r="G51" s="15"/>
      <c r="H51" s="15"/>
    </row>
    <row r="52" spans="1:14" x14ac:dyDescent="0.4">
      <c r="A52" s="32"/>
      <c r="B52" s="62"/>
      <c r="C52" s="23"/>
      <c r="D52" s="23"/>
      <c r="E52" s="23"/>
      <c r="F52" s="15"/>
      <c r="G52" s="15"/>
      <c r="H52" s="15"/>
      <c r="I52" s="15"/>
    </row>
    <row r="53" spans="1:14" ht="12.7" customHeight="1" x14ac:dyDescent="0.4">
      <c r="A53" s="24">
        <v>10</v>
      </c>
      <c r="B53" s="376" t="s">
        <v>36</v>
      </c>
      <c r="C53" s="365"/>
      <c r="D53" s="365"/>
      <c r="E53" s="365"/>
      <c r="F53" s="15"/>
      <c r="G53" s="15"/>
      <c r="H53" s="15"/>
    </row>
    <row r="54" spans="1:14" ht="12.7" customHeight="1" x14ac:dyDescent="0.4">
      <c r="A54" s="29"/>
      <c r="B54" s="383" t="s">
        <v>43</v>
      </c>
      <c r="C54" s="385" t="s">
        <v>461</v>
      </c>
      <c r="D54" s="386"/>
      <c r="E54" s="387"/>
      <c r="K54" s="1"/>
    </row>
    <row r="55" spans="1:14"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ht="12.7" customHeight="1" x14ac:dyDescent="0.4">
      <c r="A58" s="29"/>
      <c r="B58" s="380" t="s">
        <v>460</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ht="12.7" customHeight="1"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11"/>
      <c r="F64" s="11"/>
      <c r="G64" s="11"/>
      <c r="H64" s="11"/>
      <c r="I64" s="11"/>
      <c r="J64" s="11"/>
      <c r="K64" s="11"/>
      <c r="L64" s="11"/>
      <c r="M64" s="11"/>
      <c r="N64" s="11"/>
    </row>
    <row r="65" spans="1:14" x14ac:dyDescent="0.4">
      <c r="A65" s="9"/>
      <c r="B65" s="17" t="s">
        <v>52</v>
      </c>
      <c r="C65" s="19" t="s">
        <v>462</v>
      </c>
      <c r="D65" s="15"/>
      <c r="E65" s="44"/>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ht="12.7" customHeight="1" x14ac:dyDescent="0.4">
      <c r="A67" s="9"/>
      <c r="B67" s="365" t="s">
        <v>53</v>
      </c>
      <c r="C67" s="366" t="s">
        <v>463</v>
      </c>
      <c r="D67" s="366" t="s">
        <v>271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103</v>
      </c>
      <c r="C69" s="45">
        <v>42.9</v>
      </c>
      <c r="D69" s="46">
        <v>36.5</v>
      </c>
      <c r="E69" s="46">
        <v>38.5</v>
      </c>
      <c r="F69" s="46">
        <v>39</v>
      </c>
      <c r="G69" s="46">
        <v>50.4</v>
      </c>
      <c r="H69" s="45">
        <v>30.5</v>
      </c>
      <c r="I69" s="45">
        <v>24.1</v>
      </c>
      <c r="J69" s="45">
        <v>45</v>
      </c>
      <c r="K69" s="45">
        <v>18.75</v>
      </c>
      <c r="L69" s="45">
        <v>15</v>
      </c>
      <c r="M69" s="45">
        <v>38</v>
      </c>
      <c r="N69" s="45">
        <v>15</v>
      </c>
    </row>
    <row r="70" spans="1:14" ht="25.65" x14ac:dyDescent="0.4">
      <c r="A70" s="2"/>
      <c r="B70" s="17" t="s">
        <v>104</v>
      </c>
      <c r="C70" s="45">
        <v>10013.65</v>
      </c>
      <c r="D70" s="45">
        <v>9912.85</v>
      </c>
      <c r="E70" s="45">
        <v>10440.5</v>
      </c>
      <c r="F70" s="46">
        <v>10113.700000000001</v>
      </c>
      <c r="G70" s="46">
        <v>11171.55</v>
      </c>
      <c r="H70" s="46">
        <v>9075.15</v>
      </c>
      <c r="I70" s="45">
        <v>11623.9</v>
      </c>
      <c r="J70" s="45">
        <v>11760.2</v>
      </c>
      <c r="K70" s="45">
        <v>10004.549999999999</v>
      </c>
      <c r="L70" s="45">
        <v>8597.75</v>
      </c>
      <c r="M70" s="45">
        <v>12430.5</v>
      </c>
      <c r="N70" s="45">
        <v>7511.1</v>
      </c>
    </row>
    <row r="71" spans="1:14" x14ac:dyDescent="0.4">
      <c r="A71" s="2"/>
      <c r="B71" s="401" t="s">
        <v>94</v>
      </c>
      <c r="C71" s="401"/>
      <c r="D71" s="401"/>
      <c r="E71" s="401"/>
      <c r="F71" s="401"/>
      <c r="G71" s="401"/>
      <c r="H71" s="401"/>
      <c r="I71" s="401"/>
      <c r="J71" s="401"/>
      <c r="K71" s="401"/>
      <c r="L71" s="401"/>
      <c r="M71" s="401"/>
      <c r="N71" s="401"/>
    </row>
    <row r="72" spans="1:14" ht="12.7" customHeight="1" x14ac:dyDescent="0.4">
      <c r="A72" s="2"/>
      <c r="B72" s="359" t="s">
        <v>63</v>
      </c>
      <c r="C72" s="359"/>
      <c r="D72" s="359"/>
      <c r="E72" s="359"/>
      <c r="F72" s="359"/>
      <c r="G72" s="359"/>
      <c r="H72" s="359"/>
      <c r="I72" s="359"/>
      <c r="J72" s="359"/>
      <c r="K72" s="359"/>
      <c r="L72" s="359"/>
      <c r="M72" s="359"/>
      <c r="N72" s="359"/>
    </row>
    <row r="73" spans="1:14" s="1" customFormat="1" ht="12.7" customHeight="1" x14ac:dyDescent="0.4">
      <c r="B73" s="359" t="s">
        <v>64</v>
      </c>
      <c r="C73" s="359"/>
      <c r="D73" s="359"/>
      <c r="E73" s="359"/>
      <c r="F73" s="359"/>
      <c r="G73" s="359"/>
      <c r="H73" s="359"/>
      <c r="I73" s="359"/>
      <c r="J73" s="359"/>
      <c r="K73" s="359"/>
      <c r="L73" s="359"/>
      <c r="M73" s="359"/>
      <c r="N73" s="359"/>
    </row>
    <row r="74" spans="1:14" ht="12.7" customHeight="1" x14ac:dyDescent="0.4">
      <c r="A74" s="2"/>
      <c r="B74" s="359" t="s">
        <v>358</v>
      </c>
      <c r="C74" s="359"/>
      <c r="D74" s="359"/>
      <c r="E74" s="359"/>
      <c r="F74" s="359"/>
      <c r="G74" s="359"/>
      <c r="H74" s="359"/>
      <c r="I74" s="359"/>
      <c r="J74" s="359"/>
      <c r="K74" s="359"/>
      <c r="L74" s="359"/>
      <c r="M74" s="359"/>
      <c r="N74" s="359"/>
    </row>
    <row r="75" spans="1:14" ht="12.7" customHeight="1"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ht="12.7" customHeight="1"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102.5" x14ac:dyDescent="0.4">
      <c r="A79" s="2"/>
      <c r="B79" s="50" t="s">
        <v>67</v>
      </c>
      <c r="C79" s="18" t="s">
        <v>68</v>
      </c>
      <c r="D79" s="18" t="s">
        <v>69</v>
      </c>
      <c r="E79" s="18" t="s">
        <v>218</v>
      </c>
      <c r="F79" s="18" t="s">
        <v>71</v>
      </c>
      <c r="G79" s="18" t="s">
        <v>107</v>
      </c>
      <c r="H79" s="13"/>
      <c r="I79" s="13"/>
      <c r="J79" s="13"/>
      <c r="K79" s="13"/>
      <c r="L79" s="13"/>
      <c r="M79" s="13"/>
      <c r="N79" s="13"/>
    </row>
    <row r="80" spans="1:14" ht="12.7" customHeight="1" x14ac:dyDescent="0.35">
      <c r="A80" s="2"/>
      <c r="B80" s="394" t="s">
        <v>72</v>
      </c>
      <c r="C80" s="3" t="s">
        <v>464</v>
      </c>
      <c r="D80" s="65">
        <v>7.01</v>
      </c>
      <c r="E80" s="52">
        <v>7.31</v>
      </c>
      <c r="F80" s="20">
        <v>9.91</v>
      </c>
      <c r="G80" s="20">
        <v>0.43</v>
      </c>
      <c r="H80" s="53"/>
      <c r="I80" s="53"/>
      <c r="J80" s="53"/>
      <c r="K80" s="53"/>
      <c r="L80" s="53"/>
      <c r="M80" s="53"/>
      <c r="N80" s="53"/>
    </row>
    <row r="81" spans="1:14" x14ac:dyDescent="0.4">
      <c r="A81" s="2"/>
      <c r="B81" s="394"/>
      <c r="C81" s="3" t="s">
        <v>73</v>
      </c>
      <c r="D81" s="54"/>
      <c r="E81" s="52"/>
      <c r="F81" s="20"/>
      <c r="G81" s="20"/>
      <c r="H81" s="53"/>
      <c r="I81" s="53"/>
      <c r="J81" s="53"/>
      <c r="K81" s="53"/>
      <c r="L81" s="53"/>
      <c r="M81" s="53"/>
      <c r="N81" s="53"/>
    </row>
    <row r="82" spans="1:14" x14ac:dyDescent="0.4">
      <c r="A82" s="2"/>
      <c r="B82" s="394"/>
      <c r="C82" s="21" t="s">
        <v>465</v>
      </c>
      <c r="D82" s="54">
        <v>1.26</v>
      </c>
      <c r="E82" s="52">
        <v>3.15</v>
      </c>
      <c r="F82" s="20">
        <v>3.38</v>
      </c>
      <c r="G82" s="20">
        <v>3.79</v>
      </c>
      <c r="H82" s="53"/>
      <c r="I82" s="53"/>
      <c r="J82" s="53"/>
      <c r="K82" s="53"/>
      <c r="L82" s="53"/>
      <c r="M82" s="53"/>
      <c r="N82" s="53"/>
    </row>
    <row r="83" spans="1:14" x14ac:dyDescent="0.4">
      <c r="A83" s="2"/>
      <c r="B83" s="394"/>
      <c r="C83" s="21" t="s">
        <v>466</v>
      </c>
      <c r="D83" s="54">
        <v>1.55</v>
      </c>
      <c r="E83" s="67" t="s">
        <v>84</v>
      </c>
      <c r="F83" s="20">
        <v>0.39</v>
      </c>
      <c r="G83" s="20">
        <v>1.0900000000000001</v>
      </c>
      <c r="H83" s="53"/>
      <c r="I83" s="53"/>
      <c r="J83" s="53"/>
      <c r="K83" s="53"/>
      <c r="L83" s="53"/>
      <c r="M83" s="53"/>
      <c r="N83" s="53"/>
    </row>
    <row r="84" spans="1:14" ht="26.5" x14ac:dyDescent="0.4">
      <c r="A84" s="2"/>
      <c r="B84" s="394"/>
      <c r="C84" s="21" t="s">
        <v>750</v>
      </c>
      <c r="D84" s="54">
        <v>0.6</v>
      </c>
      <c r="E84" s="52">
        <v>1.18</v>
      </c>
      <c r="F84" s="20">
        <v>2.12</v>
      </c>
      <c r="G84" s="20">
        <v>-16.559999999999999</v>
      </c>
      <c r="H84" s="53"/>
      <c r="I84" s="53"/>
      <c r="J84" s="53"/>
      <c r="K84" s="53"/>
      <c r="L84" s="53"/>
      <c r="M84" s="53"/>
      <c r="N84" s="53"/>
    </row>
    <row r="85" spans="1:14" x14ac:dyDescent="0.4">
      <c r="A85" s="2"/>
      <c r="B85" s="394"/>
      <c r="C85" s="3" t="s">
        <v>74</v>
      </c>
      <c r="D85" s="127">
        <f>SUM(D82:D84)/3</f>
        <v>1.1366666666666667</v>
      </c>
      <c r="E85" s="127">
        <f t="shared" ref="E85:G85" si="0">SUM(E82:E84)/3</f>
        <v>1.4433333333333334</v>
      </c>
      <c r="F85" s="127">
        <f t="shared" si="0"/>
        <v>1.9633333333333336</v>
      </c>
      <c r="G85" s="127">
        <f t="shared" si="0"/>
        <v>-3.8933333333333331</v>
      </c>
      <c r="H85" s="53"/>
      <c r="I85" s="53"/>
      <c r="J85" s="53"/>
      <c r="K85" s="53"/>
      <c r="L85" s="53"/>
      <c r="M85" s="53"/>
      <c r="N85" s="53"/>
    </row>
    <row r="86" spans="1:14" x14ac:dyDescent="0.35">
      <c r="A86" s="2"/>
      <c r="B86" s="394" t="s">
        <v>75</v>
      </c>
      <c r="C86" s="3" t="s">
        <v>464</v>
      </c>
      <c r="D86" s="77">
        <v>7.13</v>
      </c>
      <c r="E86" s="55">
        <f>F69/E80</f>
        <v>5.3351573187414507</v>
      </c>
      <c r="F86" s="101">
        <f>I69/F80</f>
        <v>2.4318869828456107</v>
      </c>
      <c r="G86" s="101">
        <f>L69/G80</f>
        <v>34.883720930232556</v>
      </c>
      <c r="H86" s="53"/>
      <c r="I86" s="53"/>
      <c r="J86" s="53"/>
      <c r="K86" s="53"/>
      <c r="L86" s="53"/>
      <c r="M86" s="53"/>
      <c r="N86" s="53"/>
    </row>
    <row r="87" spans="1:14" x14ac:dyDescent="0.4">
      <c r="A87" s="2"/>
      <c r="B87" s="394"/>
      <c r="C87" s="3" t="s">
        <v>73</v>
      </c>
      <c r="D87" s="54"/>
      <c r="E87" s="52"/>
      <c r="F87" s="20"/>
      <c r="G87" s="20"/>
      <c r="H87" s="53"/>
      <c r="I87" s="53"/>
      <c r="J87" s="53"/>
      <c r="K87" s="53"/>
      <c r="L87" s="53"/>
      <c r="M87" s="53"/>
      <c r="N87" s="53"/>
    </row>
    <row r="88" spans="1:14" x14ac:dyDescent="0.4">
      <c r="A88" s="2"/>
      <c r="B88" s="394"/>
      <c r="C88" s="21" t="s">
        <v>465</v>
      </c>
      <c r="D88" s="54">
        <v>13.91</v>
      </c>
      <c r="E88" s="55">
        <f>46.75/E82</f>
        <v>14.841269841269842</v>
      </c>
      <c r="F88" s="144">
        <f>30.65/F82</f>
        <v>9.0680473372781059</v>
      </c>
      <c r="G88" s="144">
        <v>3.98</v>
      </c>
      <c r="H88" s="53"/>
      <c r="I88" s="53"/>
      <c r="J88" s="53"/>
      <c r="K88" s="53"/>
      <c r="L88" s="53"/>
      <c r="M88" s="53"/>
      <c r="N88" s="53"/>
    </row>
    <row r="89" spans="1:14" x14ac:dyDescent="0.4">
      <c r="A89" s="2"/>
      <c r="B89" s="394"/>
      <c r="C89" s="21" t="s">
        <v>466</v>
      </c>
      <c r="D89" s="54">
        <v>17.39</v>
      </c>
      <c r="E89" s="67" t="s">
        <v>84</v>
      </c>
      <c r="F89" s="101">
        <f>12/F83</f>
        <v>30.769230769230766</v>
      </c>
      <c r="G89" s="101">
        <v>7.49</v>
      </c>
      <c r="H89" s="53"/>
      <c r="I89" s="53"/>
      <c r="J89" s="53"/>
      <c r="K89" s="53"/>
      <c r="L89" s="53"/>
      <c r="M89" s="53"/>
      <c r="N89" s="53"/>
    </row>
    <row r="90" spans="1:14" ht="26.5" x14ac:dyDescent="0.4">
      <c r="A90" s="2"/>
      <c r="B90" s="394"/>
      <c r="C90" s="21" t="s">
        <v>750</v>
      </c>
      <c r="D90" s="54">
        <v>12.01</v>
      </c>
      <c r="E90" s="55">
        <f>19.95/E84</f>
        <v>16.906779661016948</v>
      </c>
      <c r="F90" s="101">
        <f>9.1/F84</f>
        <v>4.2924528301886786</v>
      </c>
      <c r="G90" s="101"/>
      <c r="H90" s="53"/>
      <c r="I90" s="53"/>
      <c r="J90" s="53"/>
      <c r="K90" s="53"/>
      <c r="L90" s="53"/>
      <c r="M90" s="53"/>
      <c r="N90" s="53"/>
    </row>
    <row r="91" spans="1:14" x14ac:dyDescent="0.4">
      <c r="A91" s="2"/>
      <c r="B91" s="394"/>
      <c r="C91" s="3" t="s">
        <v>74</v>
      </c>
      <c r="D91" s="127">
        <f>SUM(D88:D90)/3</f>
        <v>14.436666666666667</v>
      </c>
      <c r="E91" s="127">
        <f t="shared" ref="E91:F91" si="1">SUM(E88:E90)/3</f>
        <v>10.582683167428931</v>
      </c>
      <c r="F91" s="127">
        <f t="shared" si="1"/>
        <v>14.709910312232518</v>
      </c>
      <c r="G91" s="127"/>
      <c r="H91" s="53"/>
      <c r="I91" s="53"/>
      <c r="J91" s="53"/>
      <c r="K91" s="53"/>
      <c r="L91" s="53"/>
      <c r="M91" s="53"/>
      <c r="N91" s="53"/>
    </row>
    <row r="92" spans="1:14" x14ac:dyDescent="0.35">
      <c r="A92" s="2"/>
      <c r="B92" s="394" t="s">
        <v>76</v>
      </c>
      <c r="C92" s="3" t="s">
        <v>464</v>
      </c>
      <c r="D92" s="65">
        <v>44.16</v>
      </c>
      <c r="E92" s="145">
        <f>48904880/233473692*100</f>
        <v>20.946634107280918</v>
      </c>
      <c r="F92" s="101">
        <f>73378508/303859118*100</f>
        <v>24.148858353495253</v>
      </c>
      <c r="G92" s="101">
        <f>47.34/3120.94*100</f>
        <v>1.5168506924195917</v>
      </c>
      <c r="H92" s="53"/>
      <c r="I92" s="53"/>
      <c r="J92" s="53"/>
      <c r="K92" s="53"/>
      <c r="L92" s="53"/>
      <c r="M92" s="53"/>
      <c r="N92" s="53"/>
    </row>
    <row r="93" spans="1:14" x14ac:dyDescent="0.4">
      <c r="A93" s="2"/>
      <c r="B93" s="394"/>
      <c r="C93" s="3" t="s">
        <v>73</v>
      </c>
      <c r="D93" s="54"/>
      <c r="E93" s="55"/>
      <c r="F93" s="20"/>
      <c r="G93" s="20"/>
      <c r="H93" s="53"/>
      <c r="I93" s="53"/>
      <c r="J93" s="53"/>
      <c r="K93" s="53"/>
      <c r="L93" s="53"/>
      <c r="M93" s="53"/>
      <c r="N93" s="53"/>
    </row>
    <row r="94" spans="1:14" x14ac:dyDescent="0.4">
      <c r="A94" s="2"/>
      <c r="B94" s="394"/>
      <c r="C94" s="21" t="s">
        <v>465</v>
      </c>
      <c r="D94" s="54">
        <v>16.45</v>
      </c>
      <c r="E94" s="145">
        <f>1578.61/6350.89*100</f>
        <v>24.856516173323737</v>
      </c>
      <c r="F94" s="101">
        <f>1695.08/6911.21*100</f>
        <v>24.526530086627378</v>
      </c>
      <c r="G94" s="101">
        <v>24.35</v>
      </c>
      <c r="H94" s="53"/>
      <c r="I94" s="53"/>
      <c r="J94" s="53"/>
      <c r="K94" s="53"/>
      <c r="L94" s="53"/>
      <c r="M94" s="53"/>
      <c r="N94" s="53"/>
    </row>
    <row r="95" spans="1:14" x14ac:dyDescent="0.4">
      <c r="A95" s="2"/>
      <c r="B95" s="394"/>
      <c r="C95" s="21" t="s">
        <v>466</v>
      </c>
      <c r="D95" s="23">
        <v>10.66</v>
      </c>
      <c r="E95" s="146">
        <f>1289.94/20455.18*100</f>
        <v>6.3061777016872984</v>
      </c>
      <c r="F95" s="101">
        <f>512.26/20963.29*100</f>
        <v>2.4436049875759003</v>
      </c>
      <c r="G95" s="101">
        <v>6.63</v>
      </c>
      <c r="H95" s="53"/>
      <c r="I95" s="53"/>
      <c r="J95" s="53"/>
      <c r="K95" s="53"/>
      <c r="L95" s="53"/>
      <c r="M95" s="53"/>
      <c r="N95" s="53"/>
    </row>
    <row r="96" spans="1:14" ht="26.5" x14ac:dyDescent="0.4">
      <c r="A96" s="2"/>
      <c r="B96" s="394"/>
      <c r="C96" s="21" t="s">
        <v>750</v>
      </c>
      <c r="D96" s="54">
        <v>10.65</v>
      </c>
      <c r="E96" s="145">
        <f>8468.57/59413.04*100</f>
        <v>14.25372275177301</v>
      </c>
      <c r="F96" s="101">
        <f>15596.84/65115.22*100</f>
        <v>23.952679573224202</v>
      </c>
      <c r="G96" s="101">
        <f>-(121898.98)/(56758.77)*100</f>
        <v>-214.76677524900558</v>
      </c>
      <c r="H96" s="53"/>
      <c r="I96" s="53"/>
      <c r="J96" s="53"/>
      <c r="K96" s="53"/>
      <c r="L96" s="53"/>
      <c r="M96" s="53"/>
      <c r="N96" s="53"/>
    </row>
    <row r="97" spans="1:14" x14ac:dyDescent="0.4">
      <c r="A97" s="2"/>
      <c r="B97" s="394"/>
      <c r="C97" s="3" t="s">
        <v>74</v>
      </c>
      <c r="D97" s="127">
        <f>SUM(D94:D96)/3</f>
        <v>12.586666666666666</v>
      </c>
      <c r="E97" s="127">
        <f t="shared" ref="E97:G97" si="2">SUM(E94:E96)/3</f>
        <v>15.13880554226135</v>
      </c>
      <c r="F97" s="127">
        <f t="shared" si="2"/>
        <v>16.974271549142493</v>
      </c>
      <c r="G97" s="127">
        <f t="shared" si="2"/>
        <v>-61.262258416335193</v>
      </c>
      <c r="H97" s="53"/>
      <c r="I97" s="53"/>
      <c r="J97" s="53"/>
      <c r="K97" s="57"/>
      <c r="L97" s="53"/>
      <c r="M97" s="53"/>
      <c r="N97" s="53"/>
    </row>
    <row r="98" spans="1:14" x14ac:dyDescent="0.35">
      <c r="A98" s="2"/>
      <c r="B98" s="394" t="s">
        <v>77</v>
      </c>
      <c r="C98" s="3" t="s">
        <v>464</v>
      </c>
      <c r="D98" s="65">
        <v>15.885</v>
      </c>
      <c r="E98" s="55">
        <f>233473692/7404000</f>
        <v>31.533453808752025</v>
      </c>
      <c r="F98" s="101">
        <f>303859118/7404000</f>
        <v>41.039859265262024</v>
      </c>
      <c r="G98" s="101">
        <f>3120.94/111.06</f>
        <v>28.101386637853413</v>
      </c>
      <c r="H98" s="53"/>
      <c r="I98" s="53"/>
      <c r="J98" s="53"/>
      <c r="K98" s="53"/>
      <c r="L98" s="53"/>
      <c r="M98" s="53"/>
      <c r="N98" s="53"/>
    </row>
    <row r="99" spans="1:14" x14ac:dyDescent="0.4">
      <c r="A99" s="2"/>
      <c r="B99" s="394"/>
      <c r="C99" s="3" t="s">
        <v>73</v>
      </c>
      <c r="D99" s="54"/>
      <c r="E99" s="52"/>
      <c r="F99" s="20"/>
      <c r="G99" s="20"/>
      <c r="H99" s="53"/>
      <c r="I99" s="53"/>
      <c r="J99" s="53"/>
      <c r="K99" s="53"/>
      <c r="L99" s="53"/>
      <c r="M99" s="53"/>
      <c r="N99" s="53"/>
    </row>
    <row r="100" spans="1:14" x14ac:dyDescent="0.4">
      <c r="A100" s="2"/>
      <c r="B100" s="411"/>
      <c r="C100" s="21" t="s">
        <v>465</v>
      </c>
      <c r="D100" s="54">
        <v>7.65</v>
      </c>
      <c r="E100" s="55">
        <f>6350.89/501.04</f>
        <v>12.675415136516047</v>
      </c>
      <c r="F100" s="101">
        <f>6911.21*100000/5010400</f>
        <v>137.93729043589335</v>
      </c>
      <c r="G100" s="101">
        <v>17.36</v>
      </c>
      <c r="H100" s="53"/>
      <c r="I100" s="53"/>
      <c r="J100" s="53"/>
      <c r="K100" s="53"/>
      <c r="L100" s="53"/>
      <c r="M100" s="53"/>
      <c r="N100" s="53"/>
    </row>
    <row r="101" spans="1:14" x14ac:dyDescent="0.4">
      <c r="A101" s="2"/>
      <c r="B101" s="411"/>
      <c r="C101" s="21" t="s">
        <v>466</v>
      </c>
      <c r="D101" s="54">
        <v>14.54</v>
      </c>
      <c r="E101" s="146">
        <f>20455.18*100000/26379000</f>
        <v>77.543424693885285</v>
      </c>
      <c r="F101" s="101">
        <f>20963.29*100000/26379000</f>
        <v>79.469615982410247</v>
      </c>
      <c r="G101" s="101">
        <v>16.97</v>
      </c>
      <c r="H101" s="53"/>
      <c r="I101" s="53"/>
      <c r="J101" s="53"/>
      <c r="K101" s="53"/>
      <c r="L101" s="53"/>
      <c r="M101" s="53"/>
      <c r="N101" s="53"/>
    </row>
    <row r="102" spans="1:14" ht="26.5" x14ac:dyDescent="0.4">
      <c r="A102" s="2"/>
      <c r="B102" s="411"/>
      <c r="C102" s="21" t="s">
        <v>750</v>
      </c>
      <c r="D102" s="54">
        <v>5.63</v>
      </c>
      <c r="E102" s="55">
        <f>59413.4/736.1</f>
        <v>80.713761717157993</v>
      </c>
      <c r="F102" s="101">
        <f>65115.22*100000/73610000</f>
        <v>88.459747316940636</v>
      </c>
      <c r="G102" s="101">
        <f>-56758.77/736.1</f>
        <v>-77.107417470452376</v>
      </c>
      <c r="H102" s="53"/>
      <c r="I102" s="53"/>
      <c r="J102" s="53"/>
      <c r="K102" s="53"/>
      <c r="L102" s="53"/>
      <c r="M102" s="53"/>
      <c r="N102" s="53"/>
    </row>
    <row r="103" spans="1:14" x14ac:dyDescent="0.4">
      <c r="A103" s="2"/>
      <c r="B103" s="411"/>
      <c r="C103" s="3" t="s">
        <v>74</v>
      </c>
      <c r="D103" s="127">
        <f>SUM(D100:D102)/3</f>
        <v>9.2733333333333317</v>
      </c>
      <c r="E103" s="127">
        <f t="shared" ref="E103:G103" si="3">SUM(E100:E102)/3</f>
        <v>56.977533849186443</v>
      </c>
      <c r="F103" s="127">
        <f t="shared" si="3"/>
        <v>101.95555124508142</v>
      </c>
      <c r="G103" s="127">
        <f t="shared" si="3"/>
        <v>-14.25913915681746</v>
      </c>
      <c r="H103" s="53"/>
      <c r="I103" s="53"/>
      <c r="J103" s="53"/>
      <c r="K103" s="53"/>
      <c r="L103" s="53"/>
      <c r="M103" s="53"/>
      <c r="N103" s="53"/>
    </row>
    <row r="104" spans="1:14" s="1" customFormat="1" x14ac:dyDescent="0.4">
      <c r="B104" s="412"/>
      <c r="C104" s="413"/>
      <c r="D104" s="413"/>
      <c r="E104" s="413"/>
      <c r="F104" s="413"/>
      <c r="G104" s="414"/>
    </row>
    <row r="105" spans="1:14" ht="12.7" customHeight="1" x14ac:dyDescent="0.4">
      <c r="A105" s="2"/>
      <c r="B105" s="415" t="s">
        <v>467</v>
      </c>
      <c r="C105" s="416"/>
      <c r="D105" s="416"/>
      <c r="E105" s="416"/>
      <c r="F105" s="416"/>
      <c r="G105" s="417"/>
      <c r="H105" s="53"/>
      <c r="I105" s="53"/>
      <c r="J105" s="53"/>
      <c r="K105" s="53"/>
      <c r="L105" s="53"/>
      <c r="M105" s="53"/>
      <c r="N105" s="53"/>
    </row>
    <row r="106" spans="1:14" ht="12.7" customHeight="1" x14ac:dyDescent="0.4">
      <c r="A106" s="2"/>
      <c r="B106" s="418" t="s">
        <v>85</v>
      </c>
      <c r="C106" s="419"/>
      <c r="D106" s="419"/>
      <c r="E106" s="419"/>
      <c r="F106" s="419"/>
      <c r="G106" s="420"/>
      <c r="H106" s="53"/>
      <c r="I106" s="53"/>
      <c r="J106" s="53"/>
      <c r="K106" s="53"/>
      <c r="L106" s="53"/>
      <c r="M106" s="53"/>
      <c r="N106" s="53"/>
    </row>
    <row r="107" spans="1:14" x14ac:dyDescent="0.4">
      <c r="A107" s="2"/>
      <c r="B107" s="363"/>
      <c r="C107" s="368"/>
      <c r="D107" s="368"/>
      <c r="E107" s="368"/>
      <c r="F107" s="368"/>
      <c r="G107" s="369"/>
      <c r="H107" s="53"/>
      <c r="I107" s="53"/>
      <c r="J107" s="53"/>
      <c r="K107" s="53"/>
      <c r="L107" s="53"/>
      <c r="M107" s="53"/>
      <c r="N107" s="53"/>
    </row>
    <row r="108" spans="1:14" x14ac:dyDescent="0.4">
      <c r="C108" s="407"/>
      <c r="D108" s="407"/>
      <c r="E108" s="407"/>
      <c r="F108" s="407"/>
      <c r="G108" s="407"/>
      <c r="H108" s="53"/>
      <c r="I108" s="53"/>
    </row>
    <row r="109" spans="1:14" x14ac:dyDescent="0.4">
      <c r="A109" s="9">
        <v>14</v>
      </c>
      <c r="B109" s="61" t="s">
        <v>78</v>
      </c>
      <c r="C109" s="356" t="s">
        <v>41</v>
      </c>
      <c r="D109" s="357"/>
      <c r="E109" s="357"/>
      <c r="F109" s="357"/>
      <c r="G109" s="408"/>
    </row>
    <row r="110" spans="1:14" x14ac:dyDescent="0.4">
      <c r="A110" s="23"/>
      <c r="C110" s="69"/>
      <c r="D110" s="69"/>
      <c r="E110" s="69"/>
      <c r="F110" s="69"/>
      <c r="G110" s="69"/>
    </row>
    <row r="111" spans="1:14" ht="12.7" customHeight="1" x14ac:dyDescent="0.4">
      <c r="B111" s="409" t="s">
        <v>468</v>
      </c>
      <c r="C111" s="410"/>
      <c r="D111" s="410"/>
      <c r="E111" s="410"/>
      <c r="F111" s="410"/>
      <c r="G111" s="410"/>
      <c r="H111" s="410"/>
    </row>
  </sheetData>
  <sheetProtection password="EB7F" sheet="1" objects="1" scenarios="1"/>
  <mergeCells count="58">
    <mergeCell ref="B111:H111"/>
    <mergeCell ref="B104:G104"/>
    <mergeCell ref="B105:G105"/>
    <mergeCell ref="B106:G106"/>
    <mergeCell ref="B107:G107"/>
    <mergeCell ref="C108:G108"/>
    <mergeCell ref="C109:G109"/>
    <mergeCell ref="B74:N74"/>
    <mergeCell ref="B75:N75"/>
    <mergeCell ref="B77:G77"/>
    <mergeCell ref="B80:B85"/>
    <mergeCell ref="B86:B91"/>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pageSetup paperSize="9" orientation="portrait"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106"/>
  <sheetViews>
    <sheetView workbookViewId="0">
      <selection activeCell="B75" sqref="B75"/>
    </sheetView>
  </sheetViews>
  <sheetFormatPr defaultColWidth="8.84375" defaultRowHeight="13.25" x14ac:dyDescent="0.4"/>
  <cols>
    <col min="1" max="1" width="8.84375" style="8"/>
    <col min="2" max="3" width="40.84375" style="8" customWidth="1"/>
    <col min="4" max="4" width="24"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469</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470</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471</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427</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27.75" customHeight="1" x14ac:dyDescent="0.4">
      <c r="A26" s="9">
        <v>6</v>
      </c>
      <c r="B26" s="365" t="s">
        <v>18</v>
      </c>
      <c r="C26" s="365"/>
      <c r="D26" s="365"/>
      <c r="E26" s="365"/>
      <c r="F26" s="11"/>
      <c r="G26" s="11"/>
      <c r="H26" s="13"/>
      <c r="I26" s="11"/>
      <c r="J26" s="11"/>
    </row>
    <row r="27" spans="1:14" x14ac:dyDescent="0.4">
      <c r="A27" s="9"/>
      <c r="B27" s="17" t="s">
        <v>20</v>
      </c>
      <c r="C27" s="18" t="s">
        <v>202</v>
      </c>
      <c r="D27" s="18" t="s">
        <v>22</v>
      </c>
      <c r="E27" s="18" t="s">
        <v>293</v>
      </c>
      <c r="F27" s="15"/>
    </row>
    <row r="28" spans="1:14" ht="12.7" customHeight="1" x14ac:dyDescent="0.4">
      <c r="A28" s="9"/>
      <c r="B28" s="19" t="s">
        <v>24</v>
      </c>
      <c r="C28" s="20">
        <v>1771.23</v>
      </c>
      <c r="D28" s="20">
        <v>4506.54</v>
      </c>
      <c r="E28" s="20">
        <v>4002.65</v>
      </c>
      <c r="F28" s="15"/>
    </row>
    <row r="29" spans="1:14" x14ac:dyDescent="0.4">
      <c r="A29" s="9"/>
      <c r="B29" s="19" t="s">
        <v>25</v>
      </c>
      <c r="C29" s="20">
        <v>106.24</v>
      </c>
      <c r="D29" s="20">
        <v>561.70000000000005</v>
      </c>
      <c r="E29" s="20">
        <v>217.06</v>
      </c>
      <c r="F29" s="15"/>
    </row>
    <row r="30" spans="1:14" x14ac:dyDescent="0.4">
      <c r="A30" s="9"/>
      <c r="B30" s="19" t="s">
        <v>26</v>
      </c>
      <c r="C30" s="20">
        <v>338.7</v>
      </c>
      <c r="D30" s="20">
        <v>338.7</v>
      </c>
      <c r="E30" s="20">
        <v>338.7</v>
      </c>
      <c r="F30" s="15"/>
    </row>
    <row r="31" spans="1:14" x14ac:dyDescent="0.4">
      <c r="A31" s="9"/>
      <c r="B31" s="19" t="s">
        <v>27</v>
      </c>
      <c r="C31" s="20">
        <v>616.03</v>
      </c>
      <c r="D31" s="20">
        <v>1176.03</v>
      </c>
      <c r="E31" s="20">
        <v>1412.44</v>
      </c>
      <c r="F31" s="15"/>
    </row>
    <row r="32" spans="1:14" x14ac:dyDescent="0.4">
      <c r="A32" s="9"/>
      <c r="B32" s="363" t="s">
        <v>228</v>
      </c>
      <c r="C32" s="368"/>
      <c r="D32" s="368"/>
      <c r="E32" s="369"/>
      <c r="F32" s="15"/>
    </row>
    <row r="33" spans="1:10" x14ac:dyDescent="0.4">
      <c r="A33" s="9"/>
      <c r="B33" s="13"/>
      <c r="C33" s="15"/>
      <c r="D33" s="15"/>
      <c r="E33" s="15"/>
      <c r="F33" s="15"/>
    </row>
    <row r="34" spans="1:10" ht="30.05" customHeight="1" x14ac:dyDescent="0.4">
      <c r="A34" s="9">
        <v>7</v>
      </c>
      <c r="B34" s="365" t="s">
        <v>28</v>
      </c>
      <c r="C34" s="365"/>
      <c r="D34" s="365"/>
      <c r="E34" s="365"/>
      <c r="F34" s="11"/>
      <c r="G34" s="11"/>
      <c r="H34" s="11"/>
      <c r="I34" s="11"/>
      <c r="J34" s="11"/>
    </row>
    <row r="35" spans="1:10" x14ac:dyDescent="0.4">
      <c r="A35" s="9"/>
      <c r="B35" s="17" t="s">
        <v>29</v>
      </c>
      <c r="C35" s="20" t="s">
        <v>30</v>
      </c>
      <c r="D35" s="13"/>
      <c r="E35" s="13"/>
      <c r="F35" s="13"/>
    </row>
    <row r="36" spans="1:10" x14ac:dyDescent="0.4">
      <c r="A36" s="9"/>
      <c r="B36" s="17" t="s">
        <v>31</v>
      </c>
      <c r="C36" s="20" t="s">
        <v>30</v>
      </c>
      <c r="D36" s="13"/>
      <c r="E36" s="13"/>
      <c r="F36" s="13"/>
    </row>
    <row r="37" spans="1:10" x14ac:dyDescent="0.4">
      <c r="A37" s="9"/>
      <c r="B37" s="22" t="s">
        <v>32</v>
      </c>
      <c r="C37" s="155" t="s">
        <v>201</v>
      </c>
      <c r="D37" s="13"/>
      <c r="E37" s="13"/>
      <c r="F37" s="13"/>
    </row>
    <row r="38" spans="1:10" x14ac:dyDescent="0.4">
      <c r="A38" s="9"/>
      <c r="B38" s="359" t="s">
        <v>94</v>
      </c>
      <c r="C38" s="359"/>
      <c r="D38" s="13"/>
      <c r="E38" s="13"/>
      <c r="F38" s="13"/>
    </row>
    <row r="39" spans="1:10" x14ac:dyDescent="0.4">
      <c r="A39" s="9"/>
      <c r="C39" s="13"/>
      <c r="D39" s="13"/>
      <c r="E39" s="13"/>
      <c r="F39" s="13"/>
    </row>
    <row r="40" spans="1:10" x14ac:dyDescent="0.4">
      <c r="A40" s="9"/>
      <c r="B40" s="15"/>
      <c r="C40" s="13"/>
      <c r="D40" s="13"/>
      <c r="E40" s="13"/>
      <c r="F40" s="13"/>
    </row>
    <row r="41" spans="1:10" ht="12.7" customHeight="1" x14ac:dyDescent="0.4">
      <c r="A41" s="9">
        <v>8</v>
      </c>
      <c r="B41" s="365" t="s">
        <v>33</v>
      </c>
      <c r="C41" s="365"/>
      <c r="D41" s="365"/>
      <c r="E41" s="365"/>
      <c r="F41" s="11"/>
      <c r="G41" s="11"/>
      <c r="H41" s="11"/>
      <c r="I41" s="11"/>
      <c r="J41" s="11"/>
    </row>
    <row r="42" spans="1:10" x14ac:dyDescent="0.4">
      <c r="A42" s="9"/>
      <c r="B42" s="17" t="s">
        <v>34</v>
      </c>
      <c r="C42" s="373" t="s">
        <v>13</v>
      </c>
      <c r="D42" s="374"/>
      <c r="E42" s="375"/>
      <c r="F42" s="13"/>
    </row>
    <row r="43" spans="1:10" x14ac:dyDescent="0.4">
      <c r="A43" s="9"/>
      <c r="B43" s="17" t="s">
        <v>31</v>
      </c>
      <c r="C43" s="373" t="s">
        <v>13</v>
      </c>
      <c r="D43" s="374"/>
      <c r="E43" s="375"/>
      <c r="F43" s="13"/>
    </row>
    <row r="44" spans="1:10" x14ac:dyDescent="0.4">
      <c r="A44" s="9"/>
      <c r="B44" s="17" t="s">
        <v>32</v>
      </c>
      <c r="C44" s="446" t="s">
        <v>817</v>
      </c>
      <c r="D44" s="446"/>
      <c r="E44" s="446"/>
      <c r="F44" s="13"/>
    </row>
    <row r="45" spans="1:10" ht="12.7" customHeight="1" x14ac:dyDescent="0.4">
      <c r="A45" s="9"/>
      <c r="B45" s="363" t="s">
        <v>35</v>
      </c>
      <c r="C45" s="368"/>
      <c r="D45" s="368"/>
      <c r="E45" s="369"/>
      <c r="F45" s="13"/>
    </row>
    <row r="46" spans="1:10" x14ac:dyDescent="0.4">
      <c r="A46" s="2"/>
      <c r="D46" s="23"/>
      <c r="E46" s="13"/>
    </row>
    <row r="47" spans="1:10" ht="12.7" customHeight="1" x14ac:dyDescent="0.4">
      <c r="A47" s="24">
        <v>9</v>
      </c>
      <c r="B47" s="376" t="s">
        <v>36</v>
      </c>
      <c r="C47" s="365"/>
      <c r="D47" s="365"/>
      <c r="E47" s="365"/>
      <c r="F47" s="25"/>
      <c r="G47" s="11"/>
      <c r="H47" s="11"/>
      <c r="I47" s="11"/>
    </row>
    <row r="48" spans="1:10" ht="25.65" x14ac:dyDescent="0.4">
      <c r="A48" s="24"/>
      <c r="B48" s="26" t="s">
        <v>37</v>
      </c>
      <c r="C48" s="27" t="s">
        <v>38</v>
      </c>
      <c r="D48" s="28" t="s">
        <v>39</v>
      </c>
      <c r="E48" s="27" t="s">
        <v>206</v>
      </c>
    </row>
    <row r="49" spans="1:14" ht="79.55" x14ac:dyDescent="0.4">
      <c r="A49" s="29"/>
      <c r="B49" s="78" t="s">
        <v>307</v>
      </c>
      <c r="C49" s="78" t="s">
        <v>472</v>
      </c>
      <c r="D49" s="112" t="s">
        <v>678</v>
      </c>
      <c r="E49" s="78" t="s">
        <v>677</v>
      </c>
    </row>
    <row r="50" spans="1:14" ht="12.7" customHeight="1" x14ac:dyDescent="0.4">
      <c r="A50" s="31"/>
      <c r="B50" s="380" t="s">
        <v>680</v>
      </c>
      <c r="C50" s="381"/>
      <c r="D50" s="381"/>
      <c r="E50" s="382"/>
      <c r="F50" s="15"/>
      <c r="G50" s="15"/>
      <c r="H50" s="15"/>
    </row>
    <row r="51" spans="1:14" x14ac:dyDescent="0.4">
      <c r="A51" s="32"/>
      <c r="B51" s="62"/>
      <c r="C51" s="23"/>
      <c r="D51" s="23"/>
      <c r="E51" s="23"/>
      <c r="F51" s="15"/>
      <c r="G51" s="15"/>
      <c r="H51" s="15"/>
      <c r="I51" s="15"/>
    </row>
    <row r="52" spans="1:14" ht="12.7" customHeight="1" x14ac:dyDescent="0.4">
      <c r="A52" s="24">
        <v>10</v>
      </c>
      <c r="B52" s="376" t="s">
        <v>36</v>
      </c>
      <c r="C52" s="365"/>
      <c r="D52" s="365"/>
      <c r="E52" s="365"/>
      <c r="F52" s="15"/>
      <c r="G52" s="15"/>
      <c r="H52" s="15"/>
    </row>
    <row r="53" spans="1:14" ht="12.7" customHeight="1" x14ac:dyDescent="0.4">
      <c r="A53" s="29"/>
      <c r="B53" s="383" t="s">
        <v>43</v>
      </c>
      <c r="C53" s="385" t="s">
        <v>679</v>
      </c>
      <c r="D53" s="386"/>
      <c r="E53" s="387"/>
      <c r="K53" s="1"/>
    </row>
    <row r="54" spans="1:14" ht="32.25" customHeight="1" x14ac:dyDescent="0.4">
      <c r="A54" s="29"/>
      <c r="B54" s="384"/>
      <c r="C54" s="388"/>
      <c r="D54" s="389"/>
      <c r="E54" s="390"/>
      <c r="K54" s="1"/>
    </row>
    <row r="55" spans="1:14" ht="45.75" customHeight="1" x14ac:dyDescent="0.4">
      <c r="A55" s="24"/>
      <c r="B55" s="33" t="s">
        <v>44</v>
      </c>
      <c r="C55" s="391" t="s">
        <v>679</v>
      </c>
      <c r="D55" s="391"/>
      <c r="E55" s="391"/>
    </row>
    <row r="56" spans="1:14" x14ac:dyDescent="0.4">
      <c r="A56" s="29"/>
      <c r="B56" s="33" t="s">
        <v>45</v>
      </c>
      <c r="C56" s="391" t="s">
        <v>46</v>
      </c>
      <c r="D56" s="391"/>
      <c r="E56" s="391"/>
      <c r="K56" s="34"/>
    </row>
    <row r="57" spans="1:14" ht="12.7" customHeight="1" x14ac:dyDescent="0.4">
      <c r="A57" s="29"/>
      <c r="B57" s="380" t="s">
        <v>680</v>
      </c>
      <c r="C57" s="381"/>
      <c r="D57" s="381"/>
      <c r="E57" s="382"/>
      <c r="K57" s="34"/>
    </row>
    <row r="58" spans="1:14" s="63" customFormat="1" x14ac:dyDescent="0.35">
      <c r="A58" s="35" t="s">
        <v>47</v>
      </c>
      <c r="B58" s="392" t="s">
        <v>48</v>
      </c>
      <c r="C58" s="392"/>
      <c r="D58" s="392"/>
      <c r="E58" s="392"/>
    </row>
    <row r="59" spans="1:14" x14ac:dyDescent="0.4">
      <c r="A59" s="40"/>
      <c r="B59" s="41"/>
      <c r="C59" s="42"/>
      <c r="D59" s="42"/>
      <c r="E59" s="42"/>
      <c r="F59" s="42"/>
    </row>
    <row r="60" spans="1:14" ht="12.7" customHeight="1" x14ac:dyDescent="0.4">
      <c r="A60" s="9">
        <v>11</v>
      </c>
      <c r="B60" s="3" t="s">
        <v>49</v>
      </c>
      <c r="C60" s="393" t="s">
        <v>50</v>
      </c>
      <c r="D60" s="393"/>
      <c r="E60" s="393"/>
      <c r="F60" s="11"/>
      <c r="G60" s="11"/>
      <c r="H60" s="43"/>
      <c r="I60" s="11"/>
      <c r="J60" s="11"/>
    </row>
    <row r="61" spans="1:14" x14ac:dyDescent="0.4">
      <c r="A61" s="9"/>
      <c r="B61" s="15"/>
      <c r="C61" s="15"/>
      <c r="D61" s="15"/>
      <c r="E61" s="15"/>
      <c r="F61" s="15"/>
      <c r="G61" s="15"/>
      <c r="H61" s="44"/>
      <c r="I61" s="44"/>
      <c r="J61" s="15"/>
    </row>
    <row r="62" spans="1:14" x14ac:dyDescent="0.4">
      <c r="A62" s="9">
        <v>12</v>
      </c>
      <c r="B62" s="11" t="s">
        <v>51</v>
      </c>
      <c r="C62" s="11"/>
      <c r="D62" s="11"/>
      <c r="E62" s="11"/>
      <c r="F62" s="11"/>
      <c r="G62" s="11"/>
      <c r="H62" s="11"/>
      <c r="I62" s="11"/>
      <c r="J62" s="11"/>
      <c r="K62" s="11"/>
      <c r="L62" s="11"/>
      <c r="M62" s="11"/>
      <c r="N62" s="11"/>
    </row>
    <row r="63" spans="1:14" x14ac:dyDescent="0.4">
      <c r="A63" s="9"/>
      <c r="B63" s="11"/>
      <c r="C63" s="11"/>
      <c r="D63" s="11"/>
      <c r="E63" s="11"/>
      <c r="F63" s="43"/>
      <c r="G63" s="43"/>
      <c r="H63" s="11"/>
      <c r="I63" s="11"/>
      <c r="J63" s="11"/>
      <c r="K63" s="11"/>
      <c r="L63" s="11"/>
      <c r="M63" s="11"/>
      <c r="N63" s="11"/>
    </row>
    <row r="64" spans="1:14" x14ac:dyDescent="0.4">
      <c r="A64" s="9"/>
      <c r="B64" s="17" t="s">
        <v>52</v>
      </c>
      <c r="C64" s="19" t="s">
        <v>298</v>
      </c>
      <c r="D64" s="15"/>
      <c r="E64" s="15"/>
      <c r="F64" s="44"/>
      <c r="G64" s="44"/>
      <c r="H64" s="15"/>
      <c r="I64" s="15"/>
      <c r="J64" s="15"/>
      <c r="K64" s="15"/>
      <c r="L64" s="15"/>
      <c r="M64" s="15"/>
      <c r="N64" s="15"/>
    </row>
    <row r="65" spans="1:15" x14ac:dyDescent="0.4">
      <c r="A65" s="9"/>
      <c r="B65" s="15"/>
      <c r="C65" s="15"/>
      <c r="D65" s="15"/>
      <c r="E65" s="15"/>
      <c r="F65" s="15"/>
      <c r="G65" s="15"/>
      <c r="H65" s="15"/>
      <c r="I65" s="15"/>
      <c r="J65" s="15"/>
      <c r="K65" s="15"/>
      <c r="L65" s="15"/>
      <c r="M65" s="15"/>
      <c r="N65" s="15"/>
    </row>
    <row r="66" spans="1:15" ht="12.7" customHeight="1" x14ac:dyDescent="0.4">
      <c r="A66" s="9"/>
      <c r="B66" s="365" t="s">
        <v>53</v>
      </c>
      <c r="C66" s="366" t="s">
        <v>473</v>
      </c>
      <c r="D66" s="366" t="s">
        <v>271</v>
      </c>
      <c r="E66" s="403" t="s">
        <v>232</v>
      </c>
      <c r="F66" s="395" t="s">
        <v>54</v>
      </c>
      <c r="G66" s="396"/>
      <c r="H66" s="397"/>
      <c r="I66" s="398" t="s">
        <v>55</v>
      </c>
      <c r="J66" s="398"/>
      <c r="K66" s="398"/>
      <c r="L66" s="398" t="s">
        <v>56</v>
      </c>
      <c r="M66" s="398"/>
      <c r="N66" s="398"/>
    </row>
    <row r="67" spans="1:15" ht="38.450000000000003" x14ac:dyDescent="0.4">
      <c r="A67" s="2"/>
      <c r="B67" s="365"/>
      <c r="C67" s="402"/>
      <c r="D67" s="402"/>
      <c r="E67" s="404"/>
      <c r="F67" s="17" t="s">
        <v>57</v>
      </c>
      <c r="G67" s="17" t="s">
        <v>58</v>
      </c>
      <c r="H67" s="17" t="s">
        <v>59</v>
      </c>
      <c r="I67" s="17" t="s">
        <v>60</v>
      </c>
      <c r="J67" s="17" t="s">
        <v>58</v>
      </c>
      <c r="K67" s="17" t="s">
        <v>59</v>
      </c>
      <c r="L67" s="17" t="s">
        <v>60</v>
      </c>
      <c r="M67" s="17" t="s">
        <v>58</v>
      </c>
      <c r="N67" s="17" t="s">
        <v>59</v>
      </c>
    </row>
    <row r="68" spans="1:15" ht="26.5" x14ac:dyDescent="0.4">
      <c r="A68" s="2"/>
      <c r="B68" s="17" t="s">
        <v>103</v>
      </c>
      <c r="C68" s="45">
        <v>40.200000000000003</v>
      </c>
      <c r="D68" s="46">
        <v>37</v>
      </c>
      <c r="E68" s="46">
        <v>35.799999999999997</v>
      </c>
      <c r="F68" s="46">
        <v>76</v>
      </c>
      <c r="G68" s="46">
        <v>100.25</v>
      </c>
      <c r="H68" s="45">
        <v>32</v>
      </c>
      <c r="I68" s="45">
        <v>102</v>
      </c>
      <c r="J68" s="45">
        <v>105.5</v>
      </c>
      <c r="K68" s="45">
        <v>67.7</v>
      </c>
      <c r="L68" s="45" t="s">
        <v>41</v>
      </c>
      <c r="M68" s="45" t="s">
        <v>41</v>
      </c>
      <c r="N68" s="45" t="s">
        <v>41</v>
      </c>
      <c r="O68" s="8" t="s">
        <v>818</v>
      </c>
    </row>
    <row r="69" spans="1:15" ht="25.65" x14ac:dyDescent="0.4">
      <c r="A69" s="2"/>
      <c r="B69" s="17" t="s">
        <v>104</v>
      </c>
      <c r="C69" s="45">
        <v>9908.0499999999993</v>
      </c>
      <c r="D69" s="45">
        <v>9934.7999999999993</v>
      </c>
      <c r="E69" s="45">
        <v>10350.15</v>
      </c>
      <c r="F69" s="46">
        <v>10113.700000000001</v>
      </c>
      <c r="G69" s="46">
        <v>11171.55</v>
      </c>
      <c r="H69" s="46">
        <v>9075.15</v>
      </c>
      <c r="I69" s="45">
        <v>11623.9</v>
      </c>
      <c r="J69" s="45">
        <v>11760.2</v>
      </c>
      <c r="K69" s="45">
        <v>10004.549999999999</v>
      </c>
      <c r="L69" s="45">
        <v>8597.75</v>
      </c>
      <c r="M69" s="45">
        <v>12430.5</v>
      </c>
      <c r="N69" s="45">
        <v>7511.1</v>
      </c>
    </row>
    <row r="70" spans="1:15" x14ac:dyDescent="0.4">
      <c r="A70" s="2"/>
      <c r="B70" s="401" t="s">
        <v>94</v>
      </c>
      <c r="C70" s="401"/>
      <c r="D70" s="401"/>
      <c r="E70" s="401"/>
      <c r="F70" s="401"/>
      <c r="G70" s="401"/>
      <c r="H70" s="401"/>
      <c r="I70" s="401"/>
      <c r="J70" s="401"/>
      <c r="K70" s="401"/>
      <c r="L70" s="401"/>
      <c r="M70" s="401"/>
      <c r="N70" s="401"/>
    </row>
    <row r="71" spans="1:15" ht="12.7" customHeight="1" x14ac:dyDescent="0.4">
      <c r="A71" s="2"/>
      <c r="B71" s="359" t="s">
        <v>63</v>
      </c>
      <c r="C71" s="359"/>
      <c r="D71" s="359"/>
      <c r="E71" s="359"/>
      <c r="F71" s="359"/>
      <c r="G71" s="359"/>
      <c r="H71" s="359"/>
      <c r="I71" s="359"/>
      <c r="J71" s="359"/>
      <c r="K71" s="359"/>
      <c r="L71" s="359"/>
      <c r="M71" s="359"/>
      <c r="N71" s="359"/>
    </row>
    <row r="72" spans="1:15" s="1" customFormat="1" ht="12.7" customHeight="1" x14ac:dyDescent="0.4">
      <c r="B72" s="359" t="s">
        <v>64</v>
      </c>
      <c r="C72" s="359"/>
      <c r="D72" s="359"/>
      <c r="E72" s="359"/>
      <c r="F72" s="359"/>
      <c r="G72" s="359"/>
      <c r="H72" s="359"/>
      <c r="I72" s="359"/>
      <c r="J72" s="359"/>
      <c r="K72" s="359"/>
      <c r="L72" s="359"/>
      <c r="M72" s="359"/>
      <c r="N72" s="359"/>
    </row>
    <row r="73" spans="1:15" ht="12.7" customHeight="1" x14ac:dyDescent="0.4">
      <c r="A73" s="2"/>
      <c r="B73" s="359" t="s">
        <v>358</v>
      </c>
      <c r="C73" s="359"/>
      <c r="D73" s="359"/>
      <c r="E73" s="359"/>
      <c r="F73" s="359"/>
      <c r="G73" s="359"/>
      <c r="H73" s="359"/>
      <c r="I73" s="359"/>
      <c r="J73" s="359"/>
      <c r="K73" s="359"/>
      <c r="L73" s="359"/>
      <c r="M73" s="359"/>
      <c r="N73" s="359"/>
    </row>
    <row r="74" spans="1:15" ht="12.7" customHeight="1" x14ac:dyDescent="0.4">
      <c r="A74" s="2"/>
      <c r="B74" s="359" t="s">
        <v>65</v>
      </c>
      <c r="C74" s="359"/>
      <c r="D74" s="359"/>
      <c r="E74" s="359"/>
      <c r="F74" s="359"/>
      <c r="G74" s="359"/>
      <c r="H74" s="359"/>
      <c r="I74" s="359"/>
      <c r="J74" s="359"/>
      <c r="K74" s="359"/>
      <c r="L74" s="359"/>
      <c r="M74" s="359"/>
      <c r="N74" s="359"/>
    </row>
    <row r="75" spans="1:15" x14ac:dyDescent="0.4">
      <c r="A75" s="2"/>
      <c r="B75" s="49"/>
      <c r="C75" s="49"/>
      <c r="D75" s="49"/>
      <c r="E75" s="49"/>
      <c r="F75" s="49"/>
      <c r="G75" s="13"/>
      <c r="H75" s="13"/>
      <c r="I75" s="13"/>
      <c r="J75" s="13"/>
      <c r="K75" s="13"/>
      <c r="L75" s="13"/>
      <c r="M75" s="13"/>
      <c r="N75" s="13"/>
    </row>
    <row r="76" spans="1:15" ht="12.7" customHeight="1" x14ac:dyDescent="0.4">
      <c r="A76" s="9">
        <v>13</v>
      </c>
      <c r="B76" s="405" t="s">
        <v>66</v>
      </c>
      <c r="C76" s="406"/>
      <c r="D76" s="406"/>
      <c r="E76" s="406"/>
      <c r="F76" s="406"/>
      <c r="G76" s="376"/>
      <c r="H76" s="11"/>
      <c r="I76" s="11"/>
      <c r="J76" s="11"/>
      <c r="K76" s="11"/>
      <c r="L76" s="11"/>
      <c r="M76" s="11"/>
      <c r="N76" s="11"/>
    </row>
    <row r="77" spans="1:15" x14ac:dyDescent="0.4">
      <c r="A77" s="9"/>
      <c r="C77" s="15"/>
      <c r="D77" s="15"/>
      <c r="E77" s="15"/>
      <c r="F77" s="15"/>
      <c r="G77" s="15"/>
      <c r="H77" s="15"/>
      <c r="I77" s="15"/>
      <c r="J77" s="15"/>
      <c r="K77" s="15"/>
      <c r="L77" s="15"/>
      <c r="M77" s="15"/>
      <c r="N77" s="15"/>
    </row>
    <row r="78" spans="1:15" ht="64.05" x14ac:dyDescent="0.4">
      <c r="A78" s="2"/>
      <c r="B78" s="50" t="s">
        <v>67</v>
      </c>
      <c r="C78" s="18" t="s">
        <v>68</v>
      </c>
      <c r="D78" s="18" t="s">
        <v>69</v>
      </c>
      <c r="E78" s="18" t="s">
        <v>218</v>
      </c>
      <c r="F78" s="18" t="s">
        <v>71</v>
      </c>
      <c r="G78" s="18" t="s">
        <v>107</v>
      </c>
      <c r="H78" s="13"/>
      <c r="I78" s="13"/>
      <c r="J78" s="13"/>
      <c r="K78" s="13"/>
      <c r="L78" s="13"/>
      <c r="M78" s="13"/>
      <c r="N78" s="13"/>
    </row>
    <row r="79" spans="1:15" ht="15.05" customHeight="1" x14ac:dyDescent="0.4">
      <c r="A79" s="2"/>
      <c r="B79" s="394" t="s">
        <v>72</v>
      </c>
      <c r="C79" s="3" t="s">
        <v>474</v>
      </c>
      <c r="D79" s="98">
        <v>6.14</v>
      </c>
      <c r="E79" s="52">
        <v>3.14</v>
      </c>
      <c r="F79" s="20">
        <v>16.579999999999998</v>
      </c>
      <c r="G79" s="20">
        <v>6.41</v>
      </c>
      <c r="H79" s="53"/>
      <c r="I79" s="53"/>
      <c r="J79" s="53"/>
      <c r="K79" s="53"/>
      <c r="L79" s="53"/>
      <c r="M79" s="53"/>
      <c r="N79" s="53"/>
    </row>
    <row r="80" spans="1:15" x14ac:dyDescent="0.4">
      <c r="A80" s="2"/>
      <c r="B80" s="394"/>
      <c r="C80" s="3" t="s">
        <v>73</v>
      </c>
      <c r="D80" s="54"/>
      <c r="E80" s="52"/>
      <c r="F80" s="20"/>
      <c r="G80" s="20"/>
      <c r="H80" s="53"/>
      <c r="I80" s="53"/>
      <c r="J80" s="53"/>
      <c r="K80" s="53"/>
      <c r="L80" s="53"/>
      <c r="M80" s="53"/>
      <c r="N80" s="53"/>
    </row>
    <row r="81" spans="1:14" ht="14.6" x14ac:dyDescent="0.4">
      <c r="A81" s="2"/>
      <c r="B81" s="394"/>
      <c r="C81" s="21" t="s">
        <v>475</v>
      </c>
      <c r="D81" s="98">
        <v>15.78</v>
      </c>
      <c r="E81" s="52">
        <v>19.02</v>
      </c>
      <c r="F81" s="20">
        <v>6.24</v>
      </c>
      <c r="G81" s="20">
        <v>6.2</v>
      </c>
      <c r="H81" s="53"/>
      <c r="I81" s="53"/>
      <c r="J81" s="53"/>
      <c r="K81" s="53"/>
      <c r="L81" s="53"/>
      <c r="M81" s="53"/>
      <c r="N81" s="53"/>
    </row>
    <row r="82" spans="1:14" x14ac:dyDescent="0.4">
      <c r="A82" s="2"/>
      <c r="B82" s="394"/>
      <c r="C82" s="21" t="s">
        <v>476</v>
      </c>
      <c r="D82" s="54">
        <v>81.680000000000007</v>
      </c>
      <c r="E82" s="52">
        <v>69.87</v>
      </c>
      <c r="F82" s="101">
        <v>54.19</v>
      </c>
      <c r="G82" s="101">
        <v>33.409999999999997</v>
      </c>
      <c r="H82" s="53"/>
      <c r="I82" s="53"/>
      <c r="J82" s="53"/>
      <c r="K82" s="53"/>
      <c r="L82" s="53"/>
      <c r="M82" s="53"/>
      <c r="N82" s="53"/>
    </row>
    <row r="83" spans="1:14" x14ac:dyDescent="0.4">
      <c r="A83" s="2"/>
      <c r="B83" s="394"/>
      <c r="C83" s="3" t="s">
        <v>74</v>
      </c>
      <c r="D83" s="127">
        <f>SUM(D81:D82)/2</f>
        <v>48.730000000000004</v>
      </c>
      <c r="E83" s="127">
        <f t="shared" ref="E83:G83" si="0">SUM(E81:E82)/2</f>
        <v>44.445</v>
      </c>
      <c r="F83" s="127">
        <f t="shared" si="0"/>
        <v>30.215</v>
      </c>
      <c r="G83" s="127">
        <f t="shared" si="0"/>
        <v>19.805</v>
      </c>
      <c r="H83" s="53"/>
      <c r="I83" s="53"/>
      <c r="J83" s="53"/>
      <c r="K83" s="53"/>
      <c r="L83" s="53"/>
      <c r="M83" s="53"/>
      <c r="N83" s="53"/>
    </row>
    <row r="84" spans="1:14" x14ac:dyDescent="0.35">
      <c r="A84" s="2"/>
      <c r="B84" s="394" t="s">
        <v>75</v>
      </c>
      <c r="C84" s="3" t="s">
        <v>474</v>
      </c>
      <c r="D84" s="77">
        <v>6.51</v>
      </c>
      <c r="E84" s="55">
        <f>76/E79</f>
        <v>24.203821656050955</v>
      </c>
      <c r="F84" s="20"/>
      <c r="G84" s="20"/>
      <c r="H84" s="53"/>
      <c r="I84" s="53"/>
      <c r="J84" s="53"/>
      <c r="K84" s="53"/>
      <c r="L84" s="53"/>
      <c r="M84" s="53"/>
      <c r="N84" s="53"/>
    </row>
    <row r="85" spans="1:14" x14ac:dyDescent="0.4">
      <c r="A85" s="2"/>
      <c r="B85" s="394"/>
      <c r="C85" s="3" t="s">
        <v>73</v>
      </c>
      <c r="D85" s="54"/>
      <c r="E85" s="52"/>
      <c r="F85" s="101"/>
      <c r="G85" s="101"/>
      <c r="H85" s="53"/>
      <c r="I85" s="53"/>
      <c r="J85" s="53"/>
      <c r="K85" s="53"/>
      <c r="L85" s="53"/>
      <c r="M85" s="53"/>
      <c r="N85" s="53"/>
    </row>
    <row r="86" spans="1:14" x14ac:dyDescent="0.4">
      <c r="A86" s="2"/>
      <c r="B86" s="394"/>
      <c r="C86" s="21" t="s">
        <v>475</v>
      </c>
      <c r="D86" s="54">
        <v>20.83</v>
      </c>
      <c r="E86" s="55">
        <f>333/E81</f>
        <v>17.50788643533123</v>
      </c>
      <c r="F86" s="101">
        <f>278.35/F81</f>
        <v>44.607371794871796</v>
      </c>
      <c r="G86" s="101">
        <v>19.32</v>
      </c>
      <c r="H86" s="53"/>
      <c r="I86" s="53"/>
      <c r="J86" s="53"/>
      <c r="K86" s="53"/>
      <c r="L86" s="53"/>
      <c r="M86" s="53"/>
      <c r="N86" s="53"/>
    </row>
    <row r="87" spans="1:14" x14ac:dyDescent="0.4">
      <c r="A87" s="2"/>
      <c r="B87" s="394"/>
      <c r="C87" s="21" t="s">
        <v>476</v>
      </c>
      <c r="D87" s="54">
        <v>15.9</v>
      </c>
      <c r="E87" s="59">
        <f>1203.2/E82</f>
        <v>17.220552454558465</v>
      </c>
      <c r="F87" s="101">
        <f>1151.45/F82</f>
        <v>21.248385310942979</v>
      </c>
      <c r="G87" s="101">
        <v>10.97</v>
      </c>
      <c r="H87" s="53"/>
      <c r="I87" s="53"/>
      <c r="J87" s="53"/>
      <c r="K87" s="53"/>
      <c r="L87" s="53"/>
      <c r="M87" s="53"/>
      <c r="N87" s="53"/>
    </row>
    <row r="88" spans="1:14" x14ac:dyDescent="0.4">
      <c r="A88" s="2"/>
      <c r="B88" s="394"/>
      <c r="C88" s="3" t="s">
        <v>74</v>
      </c>
      <c r="D88" s="127">
        <f>SUM(D86:D87)/2</f>
        <v>18.364999999999998</v>
      </c>
      <c r="E88" s="127">
        <f t="shared" ref="E88:G88" si="1">SUM(E86:E87)/2</f>
        <v>17.364219444944847</v>
      </c>
      <c r="F88" s="127">
        <f t="shared" si="1"/>
        <v>32.927878552907387</v>
      </c>
      <c r="G88" s="127">
        <f t="shared" si="1"/>
        <v>15.145</v>
      </c>
      <c r="H88" s="53"/>
      <c r="I88" s="53"/>
      <c r="J88" s="53"/>
      <c r="K88" s="53"/>
      <c r="L88" s="53"/>
      <c r="M88" s="53"/>
      <c r="N88" s="53"/>
    </row>
    <row r="89" spans="1:14" x14ac:dyDescent="0.35">
      <c r="A89" s="2"/>
      <c r="B89" s="394" t="s">
        <v>76</v>
      </c>
      <c r="C89" s="3" t="s">
        <v>474</v>
      </c>
      <c r="D89" s="65">
        <v>32.03</v>
      </c>
      <c r="E89" s="145">
        <f>106.24/954.73*100</f>
        <v>11.127753396248155</v>
      </c>
      <c r="F89" s="101">
        <f>561.7/1514.73*100</f>
        <v>37.082516356050256</v>
      </c>
      <c r="G89" s="101">
        <f>21706749.24/175114441.33*100</f>
        <v>12.395750501864104</v>
      </c>
      <c r="H89" s="53"/>
      <c r="I89" s="53"/>
      <c r="J89" s="53"/>
      <c r="K89" s="53"/>
      <c r="L89" s="53"/>
      <c r="M89" s="53"/>
      <c r="N89" s="53"/>
    </row>
    <row r="90" spans="1:14" x14ac:dyDescent="0.4">
      <c r="A90" s="2"/>
      <c r="B90" s="394"/>
      <c r="C90" s="3" t="s">
        <v>73</v>
      </c>
      <c r="D90" s="54"/>
      <c r="E90" s="52"/>
      <c r="F90" s="20"/>
      <c r="G90" s="20"/>
      <c r="H90" s="53"/>
      <c r="I90" s="53"/>
      <c r="J90" s="53"/>
      <c r="K90" s="53"/>
      <c r="L90" s="53"/>
      <c r="M90" s="53"/>
      <c r="N90" s="53"/>
    </row>
    <row r="91" spans="1:14" x14ac:dyDescent="0.4">
      <c r="A91" s="2"/>
      <c r="B91" s="394"/>
      <c r="C91" s="21" t="s">
        <v>475</v>
      </c>
      <c r="D91" s="54">
        <v>16.239999999999998</v>
      </c>
      <c r="E91" s="145">
        <f>2899/17478*100</f>
        <v>16.586565968646298</v>
      </c>
      <c r="F91" s="101">
        <f>951/17474*100</f>
        <v>5.4423715234062042</v>
      </c>
      <c r="G91" s="101">
        <v>5.99</v>
      </c>
      <c r="H91" s="53"/>
      <c r="I91" s="53"/>
      <c r="J91" s="53"/>
      <c r="K91" s="53"/>
      <c r="L91" s="53"/>
      <c r="M91" s="53"/>
      <c r="N91" s="53"/>
    </row>
    <row r="92" spans="1:14" x14ac:dyDescent="0.4">
      <c r="A92" s="2"/>
      <c r="B92" s="394"/>
      <c r="C92" s="21" t="s">
        <v>476</v>
      </c>
      <c r="D92" s="23">
        <v>30.12</v>
      </c>
      <c r="E92" s="145">
        <f>2781.19/10953.49*100</f>
        <v>25.39090280814608</v>
      </c>
      <c r="F92" s="101">
        <f>2096.13/13052.03*100</f>
        <v>16.059800659361034</v>
      </c>
      <c r="G92" s="101">
        <v>10.4</v>
      </c>
      <c r="H92" s="53"/>
      <c r="I92" s="53"/>
      <c r="J92" s="53"/>
      <c r="K92" s="53"/>
      <c r="L92" s="53"/>
      <c r="M92" s="53"/>
      <c r="N92" s="53"/>
    </row>
    <row r="93" spans="1:14" x14ac:dyDescent="0.4">
      <c r="A93" s="2"/>
      <c r="B93" s="394"/>
      <c r="C93" s="3" t="s">
        <v>74</v>
      </c>
      <c r="D93" s="127">
        <f>SUM(D91:D92)/2</f>
        <v>23.18</v>
      </c>
      <c r="E93" s="127">
        <f t="shared" ref="E93:G93" si="2">SUM(E91:E92)/2</f>
        <v>20.988734388396189</v>
      </c>
      <c r="F93" s="127">
        <f t="shared" si="2"/>
        <v>10.75108609138362</v>
      </c>
      <c r="G93" s="127">
        <f t="shared" si="2"/>
        <v>8.1950000000000003</v>
      </c>
      <c r="H93" s="53"/>
      <c r="I93" s="53"/>
      <c r="J93" s="53"/>
      <c r="K93" s="57"/>
      <c r="L93" s="53"/>
      <c r="M93" s="53"/>
      <c r="N93" s="53"/>
    </row>
    <row r="94" spans="1:14" x14ac:dyDescent="0.35">
      <c r="A94" s="2"/>
      <c r="B94" s="394" t="s">
        <v>77</v>
      </c>
      <c r="C94" s="3" t="s">
        <v>474</v>
      </c>
      <c r="D94" s="65">
        <v>19.170000000000002</v>
      </c>
      <c r="E94" s="55">
        <f>954.73/33.87</f>
        <v>28.188072040153532</v>
      </c>
      <c r="F94" s="101">
        <f>1514.73*100000/3387000</f>
        <v>44.721877767936228</v>
      </c>
      <c r="G94" s="101">
        <f>175114441.33/3387000</f>
        <v>51.701931304989671</v>
      </c>
      <c r="H94" s="53"/>
      <c r="I94" s="53"/>
      <c r="J94" s="53"/>
      <c r="K94" s="53"/>
      <c r="L94" s="53"/>
      <c r="M94" s="53"/>
      <c r="N94" s="53"/>
    </row>
    <row r="95" spans="1:14" x14ac:dyDescent="0.4">
      <c r="A95" s="2"/>
      <c r="B95" s="394"/>
      <c r="C95" s="3" t="s">
        <v>73</v>
      </c>
      <c r="D95" s="54"/>
      <c r="E95" s="52"/>
      <c r="F95" s="20"/>
      <c r="G95" s="20"/>
      <c r="H95" s="53"/>
      <c r="I95" s="53"/>
      <c r="J95" s="53"/>
      <c r="K95" s="53"/>
      <c r="L95" s="53"/>
      <c r="M95" s="53"/>
      <c r="N95" s="53"/>
    </row>
    <row r="96" spans="1:14" x14ac:dyDescent="0.4">
      <c r="A96" s="2"/>
      <c r="B96" s="411"/>
      <c r="C96" s="21" t="s">
        <v>475</v>
      </c>
      <c r="D96" s="54">
        <v>97.15</v>
      </c>
      <c r="E96" s="55">
        <f>17478/152.4</f>
        <v>114.68503937007874</v>
      </c>
      <c r="F96" s="101">
        <f>17474*100000/15240000</f>
        <v>114.65879265091864</v>
      </c>
      <c r="G96" s="101">
        <v>92.26</v>
      </c>
      <c r="H96" s="53"/>
      <c r="I96" s="53"/>
      <c r="J96" s="53"/>
      <c r="K96" s="53"/>
      <c r="L96" s="53"/>
      <c r="M96" s="53"/>
      <c r="N96" s="53"/>
    </row>
    <row r="97" spans="1:14" x14ac:dyDescent="0.4">
      <c r="A97" s="2"/>
      <c r="B97" s="411"/>
      <c r="C97" s="21" t="s">
        <v>476</v>
      </c>
      <c r="D97" s="54">
        <v>275.88</v>
      </c>
      <c r="E97" s="55">
        <f>10953.49/38.62</f>
        <v>283.62221646815124</v>
      </c>
      <c r="F97" s="101">
        <f>13052.03*1000000/38711000</f>
        <v>337.16592183100408</v>
      </c>
      <c r="G97" s="101">
        <v>295.48</v>
      </c>
      <c r="H97" s="53"/>
      <c r="I97" s="53"/>
      <c r="J97" s="53"/>
      <c r="K97" s="53"/>
      <c r="L97" s="53"/>
      <c r="M97" s="53"/>
      <c r="N97" s="53"/>
    </row>
    <row r="98" spans="1:14" x14ac:dyDescent="0.4">
      <c r="A98" s="2"/>
      <c r="B98" s="411"/>
      <c r="C98" s="3" t="s">
        <v>74</v>
      </c>
      <c r="D98" s="127">
        <f>SUM(D96:D97)/2</f>
        <v>186.51499999999999</v>
      </c>
      <c r="E98" s="127">
        <f t="shared" ref="E98:G98" si="3">SUM(E96:E97)/2</f>
        <v>199.153627919115</v>
      </c>
      <c r="F98" s="127">
        <f t="shared" si="3"/>
        <v>225.91235724096137</v>
      </c>
      <c r="G98" s="127">
        <f t="shared" si="3"/>
        <v>193.87</v>
      </c>
      <c r="H98" s="53"/>
      <c r="I98" s="53"/>
      <c r="J98" s="53"/>
      <c r="K98" s="53"/>
      <c r="L98" s="53"/>
      <c r="M98" s="53"/>
      <c r="N98" s="53"/>
    </row>
    <row r="99" spans="1:14" s="1" customFormat="1" x14ac:dyDescent="0.4">
      <c r="B99" s="412"/>
      <c r="C99" s="413"/>
      <c r="D99" s="413"/>
      <c r="E99" s="413"/>
      <c r="F99" s="413"/>
      <c r="G99" s="414"/>
    </row>
    <row r="100" spans="1:14" ht="12.7" customHeight="1" x14ac:dyDescent="0.4">
      <c r="A100" s="2"/>
      <c r="B100" s="415" t="s">
        <v>477</v>
      </c>
      <c r="C100" s="416"/>
      <c r="D100" s="416"/>
      <c r="E100" s="416"/>
      <c r="F100" s="416"/>
      <c r="G100" s="417"/>
      <c r="H100" s="53"/>
      <c r="I100" s="53"/>
      <c r="J100" s="53"/>
      <c r="K100" s="53"/>
      <c r="L100" s="53"/>
      <c r="M100" s="53"/>
      <c r="N100" s="53"/>
    </row>
    <row r="101" spans="1:14" ht="12.7" customHeight="1" x14ac:dyDescent="0.4">
      <c r="A101" s="2"/>
      <c r="B101" s="418" t="s">
        <v>85</v>
      </c>
      <c r="C101" s="419"/>
      <c r="D101" s="419"/>
      <c r="E101" s="419"/>
      <c r="F101" s="419"/>
      <c r="G101" s="420"/>
      <c r="H101" s="53"/>
      <c r="I101" s="53"/>
      <c r="J101" s="53"/>
      <c r="K101" s="53"/>
      <c r="L101" s="53"/>
      <c r="M101" s="53"/>
      <c r="N101" s="53"/>
    </row>
    <row r="102" spans="1:14" x14ac:dyDescent="0.4">
      <c r="A102" s="2"/>
      <c r="B102" s="363"/>
      <c r="C102" s="368"/>
      <c r="D102" s="368"/>
      <c r="E102" s="368"/>
      <c r="F102" s="368"/>
      <c r="G102" s="369"/>
      <c r="H102" s="53"/>
      <c r="I102" s="53"/>
      <c r="J102" s="53"/>
      <c r="K102" s="53"/>
      <c r="L102" s="53"/>
      <c r="M102" s="53"/>
      <c r="N102" s="53"/>
    </row>
    <row r="103" spans="1:14" x14ac:dyDescent="0.4">
      <c r="C103" s="407"/>
      <c r="D103" s="407"/>
      <c r="E103" s="407"/>
      <c r="F103" s="407"/>
      <c r="G103" s="407"/>
      <c r="H103" s="53"/>
      <c r="I103" s="53"/>
    </row>
    <row r="104" spans="1:14" x14ac:dyDescent="0.4">
      <c r="A104" s="9">
        <v>14</v>
      </c>
      <c r="B104" s="61" t="s">
        <v>78</v>
      </c>
      <c r="C104" s="356" t="s">
        <v>41</v>
      </c>
      <c r="D104" s="357"/>
      <c r="E104" s="357"/>
      <c r="F104" s="357"/>
      <c r="G104" s="408"/>
    </row>
    <row r="105" spans="1:14" x14ac:dyDescent="0.4">
      <c r="A105" s="23"/>
      <c r="C105" s="69"/>
      <c r="D105" s="69"/>
      <c r="E105" s="69"/>
      <c r="F105" s="69"/>
      <c r="G105" s="69"/>
    </row>
    <row r="106" spans="1:14" ht="12.7" customHeight="1" x14ac:dyDescent="0.4">
      <c r="B106" s="409" t="s">
        <v>478</v>
      </c>
      <c r="C106" s="410"/>
      <c r="D106" s="410"/>
      <c r="E106" s="410"/>
      <c r="F106" s="410"/>
      <c r="G106" s="410"/>
      <c r="H106" s="410"/>
    </row>
  </sheetData>
  <sheetProtection password="EB7F" sheet="1" objects="1" scenarios="1"/>
  <mergeCells count="57">
    <mergeCell ref="B106:H106"/>
    <mergeCell ref="B99:G99"/>
    <mergeCell ref="B100:G100"/>
    <mergeCell ref="B101:G101"/>
    <mergeCell ref="B102:G102"/>
    <mergeCell ref="C103:G103"/>
    <mergeCell ref="C104:G104"/>
    <mergeCell ref="B73:N73"/>
    <mergeCell ref="B74:N74"/>
    <mergeCell ref="B76:G76"/>
    <mergeCell ref="B79:B83"/>
    <mergeCell ref="B84:B88"/>
    <mergeCell ref="B89:B93"/>
    <mergeCell ref="B94:B98"/>
    <mergeCell ref="B72:N72"/>
    <mergeCell ref="C55:E55"/>
    <mergeCell ref="C56:E56"/>
    <mergeCell ref="B57:E57"/>
    <mergeCell ref="B58:E58"/>
    <mergeCell ref="C60:E60"/>
    <mergeCell ref="B66:B67"/>
    <mergeCell ref="C66:C67"/>
    <mergeCell ref="D66:D67"/>
    <mergeCell ref="E66:E67"/>
    <mergeCell ref="F66:H66"/>
    <mergeCell ref="I66:K66"/>
    <mergeCell ref="L66:N66"/>
    <mergeCell ref="B70:N70"/>
    <mergeCell ref="B71:N71"/>
    <mergeCell ref="B53:B54"/>
    <mergeCell ref="C53:E54"/>
    <mergeCell ref="B32:E32"/>
    <mergeCell ref="B34:E34"/>
    <mergeCell ref="B38:C38"/>
    <mergeCell ref="B41:E41"/>
    <mergeCell ref="C42:E42"/>
    <mergeCell ref="C43:E43"/>
    <mergeCell ref="C44:E44"/>
    <mergeCell ref="B45:E45"/>
    <mergeCell ref="B47:E47"/>
    <mergeCell ref="B50:E50"/>
    <mergeCell ref="B52:E52"/>
    <mergeCell ref="C22:E22"/>
    <mergeCell ref="B23:E23"/>
    <mergeCell ref="B26:E26"/>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pageSetup paperSize="9" orientation="portrait"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123"/>
  <sheetViews>
    <sheetView topLeftCell="A103" workbookViewId="0">
      <selection activeCell="B75" sqref="B75:N75"/>
    </sheetView>
  </sheetViews>
  <sheetFormatPr defaultColWidth="8.84375" defaultRowHeight="13.25" x14ac:dyDescent="0.4"/>
  <cols>
    <col min="1" max="1" width="8.84375" style="8"/>
    <col min="2" max="3" width="40.84375" style="8" customWidth="1"/>
    <col min="4" max="4" width="15.84375" style="23"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2"/>
    </row>
    <row r="3" spans="1:5" ht="19.25" customHeight="1" x14ac:dyDescent="0.4">
      <c r="A3" s="2" t="s">
        <v>1</v>
      </c>
      <c r="B3" s="3" t="s">
        <v>2</v>
      </c>
      <c r="C3" s="4" t="s">
        <v>479</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480</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481</v>
      </c>
      <c r="D14" s="5"/>
    </row>
    <row r="15" spans="1:5" ht="14.35" customHeight="1" x14ac:dyDescent="0.4">
      <c r="A15" s="9"/>
      <c r="B15" s="363" t="s">
        <v>10</v>
      </c>
      <c r="C15" s="364"/>
      <c r="D15" s="5"/>
    </row>
    <row r="16" spans="1:5" x14ac:dyDescent="0.4">
      <c r="A16" s="9"/>
      <c r="D16" s="5"/>
    </row>
    <row r="17" spans="1:14" ht="12.7"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482</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5"/>
      <c r="E24" s="13"/>
      <c r="F24" s="15"/>
      <c r="G24" s="13"/>
      <c r="H24" s="13"/>
      <c r="I24" s="13"/>
      <c r="J24" s="13"/>
      <c r="K24" s="13"/>
      <c r="L24" s="13"/>
      <c r="M24" s="13"/>
      <c r="N24" s="13"/>
    </row>
    <row r="25" spans="1:14" x14ac:dyDescent="0.4">
      <c r="A25" s="9"/>
      <c r="B25" s="15"/>
      <c r="C25" s="15"/>
      <c r="D25" s="9"/>
      <c r="E25" s="15"/>
      <c r="F25" s="15"/>
      <c r="G25" s="13"/>
      <c r="H25" s="13"/>
      <c r="I25" s="13"/>
      <c r="J25" s="13"/>
      <c r="K25" s="13"/>
      <c r="L25" s="13"/>
      <c r="M25" s="13"/>
      <c r="N25" s="13"/>
    </row>
    <row r="26" spans="1:14" ht="12.7"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ht="12.7" customHeight="1" x14ac:dyDescent="0.4">
      <c r="A29" s="9"/>
      <c r="B29" s="19" t="s">
        <v>24</v>
      </c>
      <c r="C29" s="20">
        <v>33442.28</v>
      </c>
      <c r="D29" s="113">
        <v>53782.78</v>
      </c>
      <c r="E29" s="113">
        <v>39701.11</v>
      </c>
      <c r="F29" s="15"/>
    </row>
    <row r="30" spans="1:14" x14ac:dyDescent="0.4">
      <c r="A30" s="9"/>
      <c r="B30" s="19" t="s">
        <v>483</v>
      </c>
      <c r="C30" s="20">
        <v>63.62</v>
      </c>
      <c r="D30" s="20">
        <v>946.18</v>
      </c>
      <c r="E30" s="20">
        <v>348.02</v>
      </c>
      <c r="F30" s="15"/>
    </row>
    <row r="31" spans="1:14" x14ac:dyDescent="0.4">
      <c r="A31" s="9"/>
      <c r="B31" s="19" t="s">
        <v>26</v>
      </c>
      <c r="C31" s="20">
        <v>1028.4000000000001</v>
      </c>
      <c r="D31" s="113">
        <v>1028.4000000000001</v>
      </c>
      <c r="E31" s="113">
        <v>1123.4000000000001</v>
      </c>
      <c r="F31" s="15"/>
    </row>
    <row r="32" spans="1:14" x14ac:dyDescent="0.4">
      <c r="A32" s="9"/>
      <c r="B32" s="19" t="s">
        <v>27</v>
      </c>
      <c r="C32" s="20">
        <v>4180.99</v>
      </c>
      <c r="D32" s="113">
        <v>5127.17</v>
      </c>
      <c r="E32" s="113">
        <v>5878.69</v>
      </c>
      <c r="F32" s="15"/>
    </row>
    <row r="33" spans="1:10" x14ac:dyDescent="0.4">
      <c r="A33" s="9"/>
      <c r="B33" s="363" t="s">
        <v>228</v>
      </c>
      <c r="C33" s="368"/>
      <c r="D33" s="368"/>
      <c r="E33" s="369"/>
      <c r="F33" s="15"/>
    </row>
    <row r="34" spans="1:10" x14ac:dyDescent="0.4">
      <c r="A34" s="9"/>
      <c r="B34" s="13"/>
      <c r="C34" s="15"/>
      <c r="D34" s="9"/>
      <c r="E34" s="15"/>
      <c r="F34" s="15"/>
    </row>
    <row r="35" spans="1:10" ht="12.7" customHeight="1" x14ac:dyDescent="0.4">
      <c r="A35" s="9">
        <v>7</v>
      </c>
      <c r="B35" s="365" t="s">
        <v>28</v>
      </c>
      <c r="C35" s="365"/>
      <c r="D35" s="365"/>
      <c r="E35" s="365"/>
      <c r="F35" s="11"/>
      <c r="G35" s="11"/>
      <c r="H35" s="11"/>
      <c r="I35" s="11"/>
      <c r="J35" s="11"/>
    </row>
    <row r="36" spans="1:10" x14ac:dyDescent="0.4">
      <c r="A36" s="9"/>
      <c r="B36" s="17" t="s">
        <v>29</v>
      </c>
      <c r="C36" s="20" t="s">
        <v>183</v>
      </c>
      <c r="D36" s="5"/>
      <c r="E36" s="13"/>
      <c r="F36" s="13"/>
    </row>
    <row r="37" spans="1:10" x14ac:dyDescent="0.4">
      <c r="A37" s="9"/>
      <c r="B37" s="17" t="s">
        <v>31</v>
      </c>
      <c r="C37" s="20" t="s">
        <v>183</v>
      </c>
      <c r="D37" s="5"/>
      <c r="E37" s="13"/>
      <c r="F37" s="13"/>
    </row>
    <row r="38" spans="1:10" x14ac:dyDescent="0.4">
      <c r="A38" s="9"/>
      <c r="B38" s="22" t="s">
        <v>32</v>
      </c>
      <c r="C38" s="20" t="s">
        <v>183</v>
      </c>
      <c r="D38" s="5"/>
      <c r="E38" s="13"/>
      <c r="F38" s="13"/>
    </row>
    <row r="39" spans="1:10" x14ac:dyDescent="0.4">
      <c r="A39" s="9"/>
      <c r="B39" s="359" t="s">
        <v>94</v>
      </c>
      <c r="C39" s="359"/>
      <c r="D39" s="5"/>
      <c r="E39" s="13"/>
      <c r="F39" s="13"/>
    </row>
    <row r="40" spans="1:10" x14ac:dyDescent="0.4">
      <c r="A40" s="9"/>
      <c r="C40" s="13"/>
      <c r="D40" s="5"/>
      <c r="E40" s="13"/>
      <c r="F40" s="13"/>
    </row>
    <row r="41" spans="1:10" x14ac:dyDescent="0.4">
      <c r="A41" s="9"/>
      <c r="B41" s="15"/>
      <c r="C41" s="13"/>
      <c r="D41" s="5"/>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x14ac:dyDescent="0.4">
      <c r="A44" s="9"/>
      <c r="B44" s="17" t="s">
        <v>31</v>
      </c>
      <c r="C44" s="373" t="s">
        <v>79</v>
      </c>
      <c r="D44" s="374"/>
      <c r="E44" s="375"/>
      <c r="F44" s="13"/>
    </row>
    <row r="45" spans="1:10" x14ac:dyDescent="0.4">
      <c r="A45" s="9"/>
      <c r="B45" s="17" t="s">
        <v>32</v>
      </c>
      <c r="C45" s="446" t="s">
        <v>79</v>
      </c>
      <c r="D45" s="446"/>
      <c r="E45" s="446"/>
      <c r="F45" s="13"/>
    </row>
    <row r="46" spans="1:10" ht="12.7" customHeight="1" x14ac:dyDescent="0.4">
      <c r="A46" s="9"/>
      <c r="B46" s="363" t="s">
        <v>35</v>
      </c>
      <c r="C46" s="368"/>
      <c r="D46" s="368"/>
      <c r="E46" s="369"/>
      <c r="F46" s="13"/>
    </row>
    <row r="47" spans="1:10" x14ac:dyDescent="0.4">
      <c r="A47" s="2"/>
      <c r="E47" s="13"/>
    </row>
    <row r="48" spans="1:10" ht="12.7" customHeight="1"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39.75" x14ac:dyDescent="0.4">
      <c r="A50" s="29"/>
      <c r="B50" s="78" t="s">
        <v>307</v>
      </c>
      <c r="C50" s="78" t="s">
        <v>484</v>
      </c>
      <c r="D50" s="28"/>
      <c r="E50" s="27"/>
    </row>
    <row r="51" spans="1:14" ht="12.7" customHeight="1" x14ac:dyDescent="0.4">
      <c r="A51" s="31"/>
      <c r="B51" s="380" t="s">
        <v>485</v>
      </c>
      <c r="C51" s="381"/>
      <c r="D51" s="381"/>
      <c r="E51" s="382"/>
      <c r="F51" s="15"/>
      <c r="G51" s="15"/>
      <c r="H51" s="15"/>
    </row>
    <row r="52" spans="1:14" x14ac:dyDescent="0.4">
      <c r="A52" s="32"/>
      <c r="B52" s="62"/>
      <c r="C52" s="23"/>
      <c r="E52" s="23"/>
      <c r="F52" s="15"/>
      <c r="G52" s="15"/>
      <c r="H52" s="15"/>
      <c r="I52" s="15"/>
    </row>
    <row r="53" spans="1:14" ht="12.7" customHeight="1" x14ac:dyDescent="0.4">
      <c r="A53" s="24">
        <v>10</v>
      </c>
      <c r="B53" s="376" t="s">
        <v>36</v>
      </c>
      <c r="C53" s="365"/>
      <c r="D53" s="365"/>
      <c r="E53" s="365"/>
      <c r="F53" s="15"/>
      <c r="G53" s="15"/>
      <c r="H53" s="15"/>
    </row>
    <row r="54" spans="1:14" ht="12.7" customHeight="1" x14ac:dyDescent="0.4">
      <c r="A54" s="29"/>
      <c r="B54" s="383" t="s">
        <v>43</v>
      </c>
      <c r="C54" s="385" t="s">
        <v>486</v>
      </c>
      <c r="D54" s="386"/>
      <c r="E54" s="387"/>
      <c r="K54" s="1"/>
    </row>
    <row r="55" spans="1:14"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ht="12.7" customHeight="1" x14ac:dyDescent="0.4">
      <c r="A58" s="29"/>
      <c r="B58" s="380" t="s">
        <v>487</v>
      </c>
      <c r="C58" s="381"/>
      <c r="D58" s="381"/>
      <c r="E58" s="382"/>
      <c r="K58" s="34"/>
    </row>
    <row r="59" spans="1:14" s="63" customFormat="1" x14ac:dyDescent="0.35">
      <c r="A59" s="35" t="s">
        <v>47</v>
      </c>
      <c r="B59" s="392" t="s">
        <v>48</v>
      </c>
      <c r="C59" s="392"/>
      <c r="D59" s="392"/>
      <c r="E59" s="392"/>
    </row>
    <row r="60" spans="1:14" x14ac:dyDescent="0.4">
      <c r="A60" s="40"/>
      <c r="B60" s="41"/>
      <c r="C60" s="42"/>
      <c r="D60" s="99"/>
      <c r="E60" s="42"/>
      <c r="F60" s="42"/>
    </row>
    <row r="61" spans="1:14" ht="12.7" customHeight="1" x14ac:dyDescent="0.4">
      <c r="A61" s="9">
        <v>11</v>
      </c>
      <c r="B61" s="3" t="s">
        <v>49</v>
      </c>
      <c r="C61" s="393" t="s">
        <v>50</v>
      </c>
      <c r="D61" s="393"/>
      <c r="E61" s="393"/>
      <c r="F61" s="11"/>
      <c r="G61" s="11"/>
      <c r="H61" s="43"/>
      <c r="I61" s="11"/>
      <c r="J61" s="11"/>
    </row>
    <row r="62" spans="1:14" x14ac:dyDescent="0.4">
      <c r="A62" s="9"/>
      <c r="B62" s="15"/>
      <c r="C62" s="15"/>
      <c r="D62" s="9"/>
      <c r="E62" s="15"/>
      <c r="F62" s="15"/>
      <c r="G62" s="15"/>
      <c r="H62" s="44"/>
      <c r="I62" s="44"/>
      <c r="J62" s="15"/>
    </row>
    <row r="63" spans="1:14" x14ac:dyDescent="0.4">
      <c r="A63" s="9">
        <v>12</v>
      </c>
      <c r="B63" s="11" t="s">
        <v>51</v>
      </c>
      <c r="C63" s="11"/>
      <c r="D63" s="9"/>
      <c r="E63" s="43"/>
      <c r="F63" s="43"/>
      <c r="G63" s="43"/>
      <c r="H63" s="11"/>
      <c r="I63" s="11"/>
      <c r="J63" s="11"/>
      <c r="K63" s="11"/>
      <c r="L63" s="11"/>
      <c r="M63" s="11"/>
      <c r="N63" s="11"/>
    </row>
    <row r="64" spans="1:14" x14ac:dyDescent="0.4">
      <c r="A64" s="9"/>
      <c r="B64" s="11"/>
      <c r="C64" s="11"/>
      <c r="D64" s="9"/>
      <c r="E64" s="11"/>
      <c r="F64" s="11"/>
      <c r="G64" s="11"/>
      <c r="H64" s="11"/>
      <c r="I64" s="11"/>
      <c r="J64" s="11"/>
      <c r="K64" s="11"/>
      <c r="L64" s="11"/>
      <c r="M64" s="11"/>
      <c r="N64" s="11"/>
    </row>
    <row r="65" spans="1:14" x14ac:dyDescent="0.4">
      <c r="A65" s="9"/>
      <c r="B65" s="17" t="s">
        <v>52</v>
      </c>
      <c r="C65" s="19" t="s">
        <v>488</v>
      </c>
      <c r="D65" s="9"/>
      <c r="E65" s="15"/>
      <c r="F65" s="44"/>
      <c r="G65" s="44"/>
      <c r="H65" s="15"/>
      <c r="I65" s="15"/>
      <c r="J65" s="15"/>
      <c r="K65" s="15"/>
      <c r="L65" s="15"/>
      <c r="M65" s="15"/>
      <c r="N65" s="15"/>
    </row>
    <row r="66" spans="1:14" x14ac:dyDescent="0.4">
      <c r="A66" s="9"/>
      <c r="B66" s="15"/>
      <c r="C66" s="15"/>
      <c r="D66" s="9"/>
      <c r="E66" s="15"/>
      <c r="F66" s="15"/>
      <c r="G66" s="15"/>
      <c r="H66" s="15"/>
      <c r="I66" s="15"/>
      <c r="J66" s="15"/>
      <c r="K66" s="15"/>
      <c r="L66" s="15"/>
      <c r="M66" s="15"/>
      <c r="N66" s="15"/>
    </row>
    <row r="67" spans="1:14" ht="12.7" customHeight="1" x14ac:dyDescent="0.4">
      <c r="A67" s="9"/>
      <c r="B67" s="365" t="s">
        <v>53</v>
      </c>
      <c r="C67" s="366" t="s">
        <v>489</v>
      </c>
      <c r="D67" s="403" t="s">
        <v>271</v>
      </c>
      <c r="E67" s="403" t="s">
        <v>232</v>
      </c>
      <c r="F67" s="395" t="s">
        <v>54</v>
      </c>
      <c r="G67" s="396"/>
      <c r="H67" s="397"/>
      <c r="I67" s="398" t="s">
        <v>55</v>
      </c>
      <c r="J67" s="398"/>
      <c r="K67" s="398"/>
      <c r="L67" s="398" t="s">
        <v>56</v>
      </c>
      <c r="M67" s="398"/>
      <c r="N67" s="398"/>
    </row>
    <row r="68" spans="1:14" ht="38.450000000000003" x14ac:dyDescent="0.4">
      <c r="A68" s="2"/>
      <c r="B68" s="365"/>
      <c r="C68" s="402"/>
      <c r="D68" s="404"/>
      <c r="E68" s="404"/>
      <c r="F68" s="17" t="s">
        <v>57</v>
      </c>
      <c r="G68" s="17" t="s">
        <v>58</v>
      </c>
      <c r="H68" s="17" t="s">
        <v>59</v>
      </c>
      <c r="I68" s="17" t="s">
        <v>60</v>
      </c>
      <c r="J68" s="17" t="s">
        <v>58</v>
      </c>
      <c r="K68" s="17" t="s">
        <v>59</v>
      </c>
      <c r="L68" s="17" t="s">
        <v>60</v>
      </c>
      <c r="M68" s="17" t="s">
        <v>58</v>
      </c>
      <c r="N68" s="17" t="s">
        <v>59</v>
      </c>
    </row>
    <row r="69" spans="1:14" x14ac:dyDescent="0.4">
      <c r="A69" s="2"/>
      <c r="B69" s="17" t="s">
        <v>103</v>
      </c>
      <c r="C69" s="45">
        <v>75</v>
      </c>
      <c r="D69" s="100">
        <v>74.900000000000006</v>
      </c>
      <c r="E69" s="46">
        <v>73.900000000000006</v>
      </c>
      <c r="F69" s="46">
        <v>67</v>
      </c>
      <c r="G69" s="46">
        <v>87</v>
      </c>
      <c r="H69" s="45">
        <v>55</v>
      </c>
      <c r="I69" s="45">
        <v>57</v>
      </c>
      <c r="J69" s="45">
        <v>75</v>
      </c>
      <c r="K69" s="45">
        <v>40</v>
      </c>
      <c r="L69" s="45">
        <v>57</v>
      </c>
      <c r="M69" s="45">
        <v>75</v>
      </c>
      <c r="N69" s="45">
        <v>40</v>
      </c>
    </row>
    <row r="70" spans="1:14" ht="25.65" x14ac:dyDescent="0.4">
      <c r="A70" s="2"/>
      <c r="B70" s="17" t="s">
        <v>104</v>
      </c>
      <c r="C70" s="45">
        <v>9934.7999999999993</v>
      </c>
      <c r="D70" s="101">
        <v>9988.75</v>
      </c>
      <c r="E70" s="45">
        <v>10166.700000000001</v>
      </c>
      <c r="F70" s="46">
        <v>10211.799999999999</v>
      </c>
      <c r="G70" s="46">
        <v>11171.55</v>
      </c>
      <c r="H70" s="46">
        <v>9075.15</v>
      </c>
      <c r="I70" s="45">
        <v>11623.9</v>
      </c>
      <c r="J70" s="45">
        <v>11760.2</v>
      </c>
      <c r="K70" s="45">
        <v>10004.549999999999</v>
      </c>
      <c r="L70" s="45">
        <v>8597.75</v>
      </c>
      <c r="M70" s="45">
        <v>12430.5</v>
      </c>
      <c r="N70" s="45">
        <v>7511.1</v>
      </c>
    </row>
    <row r="71" spans="1:14" x14ac:dyDescent="0.4">
      <c r="A71" s="2"/>
      <c r="B71" s="401" t="s">
        <v>94</v>
      </c>
      <c r="C71" s="401"/>
      <c r="D71" s="401"/>
      <c r="E71" s="401"/>
      <c r="F71" s="401"/>
      <c r="G71" s="401"/>
      <c r="H71" s="401"/>
      <c r="I71" s="401"/>
      <c r="J71" s="401"/>
      <c r="K71" s="401"/>
      <c r="L71" s="401"/>
      <c r="M71" s="401"/>
      <c r="N71" s="401"/>
    </row>
    <row r="72" spans="1:14" ht="12.7" customHeight="1" x14ac:dyDescent="0.4">
      <c r="A72" s="2"/>
      <c r="B72" s="359" t="s">
        <v>63</v>
      </c>
      <c r="C72" s="359"/>
      <c r="D72" s="359"/>
      <c r="E72" s="359"/>
      <c r="F72" s="359"/>
      <c r="G72" s="359"/>
      <c r="H72" s="359"/>
      <c r="I72" s="359"/>
      <c r="J72" s="359"/>
      <c r="K72" s="359"/>
      <c r="L72" s="359"/>
      <c r="M72" s="359"/>
      <c r="N72" s="359"/>
    </row>
    <row r="73" spans="1:14" s="1" customFormat="1" ht="12.7" customHeight="1" x14ac:dyDescent="0.4">
      <c r="B73" s="359" t="s">
        <v>64</v>
      </c>
      <c r="C73" s="359"/>
      <c r="D73" s="359"/>
      <c r="E73" s="359"/>
      <c r="F73" s="359"/>
      <c r="G73" s="359"/>
      <c r="H73" s="359"/>
      <c r="I73" s="359"/>
      <c r="J73" s="359"/>
      <c r="K73" s="359"/>
      <c r="L73" s="359"/>
      <c r="M73" s="359"/>
      <c r="N73" s="359"/>
    </row>
    <row r="74" spans="1:14" ht="12.7" customHeight="1" x14ac:dyDescent="0.4">
      <c r="A74" s="2"/>
      <c r="B74" s="359" t="s">
        <v>358</v>
      </c>
      <c r="C74" s="359"/>
      <c r="D74" s="359"/>
      <c r="E74" s="359"/>
      <c r="F74" s="359"/>
      <c r="G74" s="359"/>
      <c r="H74" s="359"/>
      <c r="I74" s="359"/>
      <c r="J74" s="359"/>
      <c r="K74" s="359"/>
      <c r="L74" s="359"/>
      <c r="M74" s="359"/>
      <c r="N74" s="359"/>
    </row>
    <row r="75" spans="1:14" ht="12.7" customHeight="1" x14ac:dyDescent="0.4">
      <c r="A75" s="2"/>
      <c r="B75" s="359" t="s">
        <v>65</v>
      </c>
      <c r="C75" s="359"/>
      <c r="D75" s="359"/>
      <c r="E75" s="359"/>
      <c r="F75" s="359"/>
      <c r="G75" s="359"/>
      <c r="H75" s="359"/>
      <c r="I75" s="359"/>
      <c r="J75" s="359"/>
      <c r="K75" s="359"/>
      <c r="L75" s="359"/>
      <c r="M75" s="359"/>
      <c r="N75" s="359"/>
    </row>
    <row r="76" spans="1:14" x14ac:dyDescent="0.4">
      <c r="A76" s="2"/>
      <c r="B76" s="49"/>
      <c r="C76" s="49"/>
      <c r="D76" s="102"/>
      <c r="E76" s="49"/>
      <c r="F76" s="49"/>
      <c r="G76" s="13"/>
      <c r="H76" s="13"/>
      <c r="I76" s="13"/>
      <c r="J76" s="13"/>
      <c r="K76" s="13"/>
      <c r="L76" s="13"/>
      <c r="M76" s="13"/>
      <c r="N76" s="13"/>
    </row>
    <row r="77" spans="1:14" ht="12.7" customHeight="1" x14ac:dyDescent="0.4">
      <c r="A77" s="9">
        <v>13</v>
      </c>
      <c r="B77" s="405" t="s">
        <v>66</v>
      </c>
      <c r="C77" s="406"/>
      <c r="D77" s="406"/>
      <c r="E77" s="406"/>
      <c r="F77" s="406"/>
      <c r="G77" s="376"/>
      <c r="H77" s="11"/>
      <c r="I77" s="11"/>
      <c r="J77" s="11"/>
      <c r="K77" s="11"/>
      <c r="L77" s="11"/>
      <c r="M77" s="11"/>
      <c r="N77" s="11"/>
    </row>
    <row r="78" spans="1:14" x14ac:dyDescent="0.4">
      <c r="A78" s="9"/>
      <c r="C78" s="15"/>
      <c r="D78" s="9"/>
      <c r="E78" s="15"/>
      <c r="F78" s="15"/>
      <c r="G78" s="15"/>
      <c r="H78" s="15"/>
      <c r="I78" s="15"/>
      <c r="J78" s="15"/>
      <c r="K78" s="15"/>
      <c r="L78" s="15"/>
      <c r="M78" s="15"/>
      <c r="N78" s="15"/>
    </row>
    <row r="79" spans="1:14" ht="102.5" x14ac:dyDescent="0.4">
      <c r="A79" s="2"/>
      <c r="B79" s="50" t="s">
        <v>67</v>
      </c>
      <c r="C79" s="18" t="s">
        <v>68</v>
      </c>
      <c r="D79" s="18" t="s">
        <v>69</v>
      </c>
      <c r="E79" s="18" t="s">
        <v>218</v>
      </c>
      <c r="F79" s="18" t="s">
        <v>71</v>
      </c>
      <c r="G79" s="18" t="s">
        <v>107</v>
      </c>
      <c r="H79" s="13"/>
      <c r="I79" s="13"/>
      <c r="J79" s="13"/>
      <c r="K79" s="13"/>
      <c r="L79" s="13"/>
      <c r="M79" s="13"/>
      <c r="N79" s="13"/>
    </row>
    <row r="80" spans="1:14" ht="15.05" customHeight="1" x14ac:dyDescent="0.4">
      <c r="A80" s="2"/>
      <c r="B80" s="394" t="s">
        <v>72</v>
      </c>
      <c r="C80" s="3" t="s">
        <v>490</v>
      </c>
      <c r="D80" s="98">
        <v>11.41</v>
      </c>
      <c r="E80" s="52">
        <v>-0.69</v>
      </c>
      <c r="F80" s="20">
        <v>9.1999999999999993</v>
      </c>
      <c r="G80" s="20">
        <v>3.33</v>
      </c>
      <c r="H80" s="53"/>
      <c r="I80" s="53"/>
      <c r="J80" s="53"/>
      <c r="K80" s="53"/>
      <c r="L80" s="53"/>
      <c r="M80" s="53"/>
      <c r="N80" s="53"/>
    </row>
    <row r="81" spans="1:14" x14ac:dyDescent="0.4">
      <c r="A81" s="2"/>
      <c r="B81" s="394"/>
      <c r="C81" s="3" t="s">
        <v>73</v>
      </c>
      <c r="D81" s="54"/>
      <c r="E81" s="52"/>
      <c r="F81" s="20"/>
      <c r="G81" s="20"/>
      <c r="H81" s="53"/>
      <c r="I81" s="53"/>
      <c r="J81" s="53"/>
      <c r="K81" s="53"/>
      <c r="L81" s="53"/>
      <c r="M81" s="53"/>
      <c r="N81" s="53"/>
    </row>
    <row r="82" spans="1:14" ht="14.6" x14ac:dyDescent="0.4">
      <c r="A82" s="2"/>
      <c r="B82" s="394"/>
      <c r="C82" s="21" t="s">
        <v>491</v>
      </c>
      <c r="D82" s="51">
        <v>12.58</v>
      </c>
      <c r="E82" s="52">
        <v>4.66</v>
      </c>
      <c r="F82" s="20">
        <v>12.28</v>
      </c>
      <c r="G82" s="20">
        <v>0.13</v>
      </c>
      <c r="H82" s="53"/>
      <c r="I82" s="53"/>
      <c r="J82" s="53"/>
      <c r="K82" s="53"/>
      <c r="L82" s="53"/>
      <c r="M82" s="53"/>
      <c r="N82" s="53"/>
    </row>
    <row r="83" spans="1:14" ht="14.6" x14ac:dyDescent="0.4">
      <c r="A83" s="2"/>
      <c r="B83" s="394"/>
      <c r="C83" s="21" t="s">
        <v>492</v>
      </c>
      <c r="D83" s="51">
        <v>2.54</v>
      </c>
      <c r="E83" s="52">
        <v>-0.02</v>
      </c>
      <c r="F83" s="20" t="s">
        <v>84</v>
      </c>
      <c r="G83" s="20">
        <v>0.81</v>
      </c>
      <c r="H83" s="53"/>
      <c r="I83" s="53"/>
      <c r="J83" s="53"/>
      <c r="K83" s="53"/>
      <c r="L83" s="53"/>
      <c r="M83" s="53"/>
      <c r="N83" s="53"/>
    </row>
    <row r="84" spans="1:14" ht="14.6" x14ac:dyDescent="0.4">
      <c r="A84" s="2"/>
      <c r="B84" s="394"/>
      <c r="C84" s="21" t="s">
        <v>493</v>
      </c>
      <c r="D84" s="51">
        <v>0.83</v>
      </c>
      <c r="E84" s="52">
        <v>0.82</v>
      </c>
      <c r="F84" s="20">
        <v>2.5099999999999998</v>
      </c>
      <c r="G84" s="20">
        <v>0.55000000000000004</v>
      </c>
      <c r="H84" s="53"/>
      <c r="I84" s="53"/>
      <c r="J84" s="53"/>
      <c r="K84" s="53"/>
      <c r="L84" s="53"/>
      <c r="M84" s="53"/>
      <c r="N84" s="53"/>
    </row>
    <row r="85" spans="1:14" x14ac:dyDescent="0.4">
      <c r="A85" s="2"/>
      <c r="B85" s="394"/>
      <c r="C85" s="21" t="s">
        <v>494</v>
      </c>
      <c r="D85" s="54">
        <v>8.09</v>
      </c>
      <c r="E85" s="52">
        <v>5.49</v>
      </c>
      <c r="F85" s="20">
        <v>5.62</v>
      </c>
      <c r="G85" s="20">
        <v>-0.38</v>
      </c>
      <c r="H85" s="53"/>
      <c r="I85" s="53"/>
      <c r="J85" s="53"/>
      <c r="K85" s="53"/>
      <c r="L85" s="53"/>
      <c r="M85" s="53"/>
      <c r="N85" s="53"/>
    </row>
    <row r="86" spans="1:14" ht="14.6" x14ac:dyDescent="0.4">
      <c r="A86" s="2"/>
      <c r="B86" s="394"/>
      <c r="C86" s="21" t="s">
        <v>495</v>
      </c>
      <c r="D86" s="98">
        <v>0.93</v>
      </c>
      <c r="E86" s="52">
        <v>-1.01</v>
      </c>
      <c r="F86" s="20">
        <v>1.66</v>
      </c>
      <c r="G86" s="20">
        <v>3.32</v>
      </c>
      <c r="H86" s="53"/>
      <c r="I86" s="53"/>
      <c r="J86" s="53"/>
      <c r="K86" s="53"/>
      <c r="L86" s="53"/>
      <c r="M86" s="53"/>
      <c r="N86" s="53"/>
    </row>
    <row r="87" spans="1:14" x14ac:dyDescent="0.4">
      <c r="A87" s="2"/>
      <c r="B87" s="394"/>
      <c r="C87" s="21" t="s">
        <v>496</v>
      </c>
      <c r="D87" s="54">
        <v>22.12</v>
      </c>
      <c r="E87" s="52">
        <v>4.6399999999999997</v>
      </c>
      <c r="F87" s="20">
        <v>33.33</v>
      </c>
      <c r="G87" s="20">
        <v>33.04</v>
      </c>
      <c r="H87" s="53"/>
      <c r="I87" s="53"/>
      <c r="J87" s="53"/>
      <c r="K87" s="53"/>
      <c r="L87" s="53"/>
      <c r="M87" s="53"/>
      <c r="N87" s="53"/>
    </row>
    <row r="88" spans="1:14" x14ac:dyDescent="0.4">
      <c r="A88" s="2"/>
      <c r="B88" s="394"/>
      <c r="C88" s="3" t="s">
        <v>74</v>
      </c>
      <c r="D88" s="76"/>
      <c r="E88" s="52"/>
      <c r="F88" s="134">
        <f>SUM(F82:F87)/6</f>
        <v>9.2333333333333325</v>
      </c>
      <c r="G88" s="134">
        <f>SUM(G82:G87)/6</f>
        <v>6.2450000000000001</v>
      </c>
      <c r="H88" s="53"/>
      <c r="I88" s="53"/>
      <c r="J88" s="53"/>
      <c r="K88" s="53"/>
      <c r="L88" s="53"/>
      <c r="M88" s="53"/>
      <c r="N88" s="53"/>
    </row>
    <row r="89" spans="1:14" x14ac:dyDescent="0.35">
      <c r="A89" s="2"/>
      <c r="B89" s="394" t="s">
        <v>75</v>
      </c>
      <c r="C89" s="3" t="s">
        <v>490</v>
      </c>
      <c r="D89" s="77">
        <v>6.57</v>
      </c>
      <c r="E89" s="52"/>
      <c r="F89" s="101">
        <f>I69/F80</f>
        <v>6.1956521739130439</v>
      </c>
      <c r="G89" s="101">
        <f>L69/G80</f>
        <v>17.117117117117118</v>
      </c>
      <c r="H89" s="53"/>
      <c r="I89" s="53"/>
      <c r="J89" s="53"/>
      <c r="K89" s="53"/>
      <c r="L89" s="53"/>
      <c r="M89" s="53"/>
      <c r="N89" s="53"/>
    </row>
    <row r="90" spans="1:14" x14ac:dyDescent="0.4">
      <c r="A90" s="2"/>
      <c r="B90" s="394"/>
      <c r="C90" s="3" t="s">
        <v>73</v>
      </c>
      <c r="D90" s="54"/>
      <c r="E90" s="52"/>
      <c r="F90" s="20"/>
      <c r="G90" s="20"/>
      <c r="H90" s="53"/>
      <c r="I90" s="53"/>
      <c r="J90" s="53"/>
      <c r="K90" s="53"/>
      <c r="L90" s="53"/>
      <c r="M90" s="53"/>
      <c r="N90" s="53"/>
    </row>
    <row r="91" spans="1:14" x14ac:dyDescent="0.4">
      <c r="A91" s="2"/>
      <c r="B91" s="394"/>
      <c r="C91" s="21" t="s">
        <v>491</v>
      </c>
      <c r="D91" s="54">
        <v>27.02</v>
      </c>
      <c r="E91" s="52">
        <v>-154.13</v>
      </c>
      <c r="F91" s="20"/>
      <c r="G91" s="20">
        <v>534.44000000000005</v>
      </c>
      <c r="H91" s="53"/>
      <c r="I91" s="53"/>
      <c r="J91" s="53"/>
      <c r="K91" s="53"/>
      <c r="L91" s="53"/>
      <c r="M91" s="53"/>
      <c r="N91" s="53"/>
    </row>
    <row r="92" spans="1:14" x14ac:dyDescent="0.4">
      <c r="A92" s="2"/>
      <c r="B92" s="394"/>
      <c r="C92" s="21" t="s">
        <v>492</v>
      </c>
      <c r="D92" s="54">
        <v>22.62</v>
      </c>
      <c r="E92" s="52">
        <v>-1345</v>
      </c>
      <c r="F92" s="20" t="s">
        <v>84</v>
      </c>
      <c r="G92" s="20">
        <v>7.49</v>
      </c>
      <c r="H92" s="53"/>
      <c r="I92" s="53"/>
      <c r="J92" s="53"/>
      <c r="K92" s="53"/>
      <c r="L92" s="53"/>
      <c r="M92" s="53"/>
      <c r="N92" s="53"/>
    </row>
    <row r="93" spans="1:14" x14ac:dyDescent="0.4">
      <c r="A93" s="2"/>
      <c r="B93" s="394"/>
      <c r="C93" s="21" t="s">
        <v>493</v>
      </c>
      <c r="D93" s="54">
        <v>37.799999999999997</v>
      </c>
      <c r="E93" s="52">
        <v>33.53</v>
      </c>
      <c r="F93" s="101">
        <f>22/F84</f>
        <v>8.7649402390438258</v>
      </c>
      <c r="G93" s="101">
        <v>57.17</v>
      </c>
      <c r="H93" s="53"/>
      <c r="I93" s="53"/>
      <c r="J93" s="53"/>
      <c r="K93" s="53"/>
      <c r="L93" s="53"/>
      <c r="M93" s="53"/>
      <c r="N93" s="53"/>
    </row>
    <row r="94" spans="1:14" x14ac:dyDescent="0.4">
      <c r="A94" s="2"/>
      <c r="B94" s="394"/>
      <c r="C94" s="21" t="s">
        <v>494</v>
      </c>
      <c r="D94" s="54">
        <v>12.63</v>
      </c>
      <c r="E94" s="52">
        <v>15.13</v>
      </c>
      <c r="F94" s="101">
        <f>78.65/F85</f>
        <v>13.994661921708186</v>
      </c>
      <c r="G94" s="101">
        <v>0</v>
      </c>
      <c r="H94" s="53"/>
      <c r="I94" s="53"/>
      <c r="J94" s="53"/>
      <c r="K94" s="53"/>
      <c r="L94" s="53"/>
      <c r="M94" s="53"/>
      <c r="N94" s="53"/>
    </row>
    <row r="95" spans="1:14" x14ac:dyDescent="0.4">
      <c r="A95" s="2"/>
      <c r="B95" s="394"/>
      <c r="C95" s="21" t="s">
        <v>495</v>
      </c>
      <c r="D95" s="54">
        <v>46.09</v>
      </c>
      <c r="E95" s="52">
        <v>-29.85</v>
      </c>
      <c r="F95" s="101">
        <f>23.6/F86</f>
        <v>14.216867469879519</v>
      </c>
      <c r="G95" s="101">
        <v>5.27</v>
      </c>
      <c r="H95" s="53"/>
      <c r="I95" s="53"/>
      <c r="J95" s="53"/>
      <c r="K95" s="53"/>
      <c r="L95" s="53"/>
      <c r="M95" s="53"/>
      <c r="N95" s="53"/>
    </row>
    <row r="96" spans="1:14" x14ac:dyDescent="0.4">
      <c r="A96" s="2"/>
      <c r="B96" s="394"/>
      <c r="C96" s="21" t="s">
        <v>496</v>
      </c>
      <c r="D96" s="54">
        <v>6.24</v>
      </c>
      <c r="E96" s="52">
        <v>217.18</v>
      </c>
      <c r="F96" s="101">
        <f>138.95/F87</f>
        <v>4.168916891689169</v>
      </c>
      <c r="G96" s="101"/>
      <c r="H96" s="53"/>
      <c r="I96" s="53"/>
      <c r="J96" s="53"/>
      <c r="K96" s="53"/>
      <c r="L96" s="53"/>
      <c r="M96" s="53"/>
      <c r="N96" s="53"/>
    </row>
    <row r="97" spans="1:14" x14ac:dyDescent="0.4">
      <c r="A97" s="2"/>
      <c r="B97" s="394"/>
      <c r="C97" s="3" t="s">
        <v>74</v>
      </c>
      <c r="D97" s="76"/>
      <c r="E97" s="52"/>
      <c r="F97" s="134">
        <f>SUM(F91:F96)/6</f>
        <v>6.8575644203867832</v>
      </c>
      <c r="G97" s="134"/>
      <c r="H97" s="53"/>
      <c r="I97" s="53"/>
      <c r="J97" s="53"/>
      <c r="K97" s="53"/>
      <c r="L97" s="53"/>
      <c r="M97" s="53"/>
      <c r="N97" s="53"/>
    </row>
    <row r="98" spans="1:14" x14ac:dyDescent="0.35">
      <c r="A98" s="2"/>
      <c r="B98" s="394" t="s">
        <v>76</v>
      </c>
      <c r="C98" s="3" t="s">
        <v>490</v>
      </c>
      <c r="D98" s="65">
        <v>22.71</v>
      </c>
      <c r="E98" s="55">
        <f>-63.63/5209.39*100</f>
        <v>-1.221448192590687</v>
      </c>
      <c r="F98" s="101">
        <f>946.18/6893.07*100</f>
        <v>13.726539843640062</v>
      </c>
      <c r="G98" s="101">
        <f>348.02/8440.22*100</f>
        <v>4.1233522348943517</v>
      </c>
      <c r="H98" s="53"/>
      <c r="I98" s="53"/>
      <c r="J98" s="53"/>
      <c r="K98" s="53"/>
      <c r="L98" s="53"/>
      <c r="M98" s="53"/>
      <c r="N98" s="53"/>
    </row>
    <row r="99" spans="1:14" x14ac:dyDescent="0.4">
      <c r="A99" s="2"/>
      <c r="B99" s="394"/>
      <c r="C99" s="3" t="s">
        <v>73</v>
      </c>
      <c r="D99" s="54"/>
      <c r="E99" s="52"/>
      <c r="F99" s="20"/>
      <c r="G99" s="20"/>
      <c r="H99" s="53"/>
      <c r="I99" s="53"/>
      <c r="J99" s="53"/>
      <c r="K99" s="53"/>
      <c r="L99" s="53"/>
      <c r="M99" s="53"/>
      <c r="N99" s="53"/>
    </row>
    <row r="100" spans="1:14" x14ac:dyDescent="0.4">
      <c r="A100" s="2"/>
      <c r="B100" s="394"/>
      <c r="C100" s="21" t="s">
        <v>491</v>
      </c>
      <c r="D100" s="54">
        <v>6.87</v>
      </c>
      <c r="E100" s="67" t="s">
        <v>84</v>
      </c>
      <c r="F100" s="101">
        <f>1934.09/30909.43*100</f>
        <v>6.2572813539427941</v>
      </c>
      <c r="G100" s="101">
        <v>0.06</v>
      </c>
      <c r="H100" s="53"/>
      <c r="I100" s="53"/>
      <c r="J100" s="53"/>
      <c r="K100" s="53"/>
      <c r="L100" s="53"/>
      <c r="M100" s="53"/>
      <c r="N100" s="53"/>
    </row>
    <row r="101" spans="1:14" x14ac:dyDescent="0.4">
      <c r="A101" s="2"/>
      <c r="B101" s="394"/>
      <c r="C101" s="21" t="s">
        <v>492</v>
      </c>
      <c r="D101" s="78">
        <v>11.26</v>
      </c>
      <c r="E101" s="67" t="s">
        <v>84</v>
      </c>
      <c r="F101" s="20" t="s">
        <v>84</v>
      </c>
      <c r="G101" s="20">
        <v>3.13</v>
      </c>
      <c r="H101" s="53"/>
      <c r="I101" s="53"/>
      <c r="J101" s="53"/>
      <c r="K101" s="53"/>
      <c r="L101" s="53"/>
      <c r="M101" s="53"/>
      <c r="N101" s="53"/>
    </row>
    <row r="102" spans="1:14" x14ac:dyDescent="0.4">
      <c r="A102" s="2"/>
      <c r="B102" s="394"/>
      <c r="C102" s="21" t="s">
        <v>493</v>
      </c>
      <c r="D102" s="78">
        <v>1.01</v>
      </c>
      <c r="E102" s="52">
        <f>0.009*100</f>
        <v>0.89999999999999991</v>
      </c>
      <c r="F102" s="101">
        <f>313.15/11221.07*100</f>
        <v>2.790732078135151</v>
      </c>
      <c r="G102" s="101">
        <v>0.63</v>
      </c>
      <c r="H102" s="53"/>
      <c r="I102" s="53"/>
      <c r="J102" s="53"/>
      <c r="K102" s="53"/>
      <c r="L102" s="53"/>
      <c r="M102" s="53"/>
      <c r="N102" s="53"/>
    </row>
    <row r="103" spans="1:14" x14ac:dyDescent="0.4">
      <c r="A103" s="2"/>
      <c r="B103" s="394"/>
      <c r="C103" s="21" t="s">
        <v>494</v>
      </c>
      <c r="D103" s="54">
        <v>6.19</v>
      </c>
      <c r="E103" s="52">
        <f>0.0402*100</f>
        <v>4.0199999999999996</v>
      </c>
      <c r="F103" s="101">
        <f>456.87/11249.6*100</f>
        <v>4.061211065282321</v>
      </c>
      <c r="G103" s="101">
        <v>-0.25</v>
      </c>
      <c r="H103" s="53"/>
      <c r="I103" s="53"/>
      <c r="J103" s="53"/>
      <c r="K103" s="53"/>
      <c r="L103" s="53"/>
      <c r="M103" s="53"/>
      <c r="N103" s="53"/>
    </row>
    <row r="104" spans="1:14" x14ac:dyDescent="0.4">
      <c r="A104" s="2"/>
      <c r="B104" s="394"/>
      <c r="C104" s="21" t="s">
        <v>495</v>
      </c>
      <c r="D104" s="78">
        <v>3.08</v>
      </c>
      <c r="E104" s="67" t="s">
        <v>84</v>
      </c>
      <c r="F104" s="101">
        <f>413.13/8224.26*100</f>
        <v>5.0233090879908948</v>
      </c>
      <c r="G104" s="101">
        <v>9.59</v>
      </c>
      <c r="H104" s="53"/>
      <c r="I104" s="53"/>
      <c r="J104" s="53"/>
      <c r="K104" s="53"/>
      <c r="L104" s="53"/>
      <c r="M104" s="53"/>
      <c r="N104" s="53"/>
    </row>
    <row r="105" spans="1:14" x14ac:dyDescent="0.4">
      <c r="A105" s="2"/>
      <c r="B105" s="394"/>
      <c r="C105" s="21" t="s">
        <v>496</v>
      </c>
      <c r="D105" s="78">
        <v>10.01</v>
      </c>
      <c r="E105" s="52">
        <f>0.0195*100</f>
        <v>1.95</v>
      </c>
      <c r="F105" s="101">
        <f>1423/11535*100</f>
        <v>12.336367576939749</v>
      </c>
      <c r="G105" s="101">
        <f>1411/12931*100</f>
        <v>10.911762431366483</v>
      </c>
      <c r="H105" s="53"/>
      <c r="I105" s="53"/>
      <c r="J105" s="53"/>
      <c r="K105" s="53"/>
      <c r="L105" s="53"/>
      <c r="M105" s="53"/>
      <c r="N105" s="53"/>
    </row>
    <row r="106" spans="1:14" x14ac:dyDescent="0.4">
      <c r="A106" s="2"/>
      <c r="B106" s="394"/>
      <c r="C106" s="3" t="s">
        <v>74</v>
      </c>
      <c r="D106" s="76"/>
      <c r="E106" s="52"/>
      <c r="F106" s="134">
        <f>SUM(F100:F105)/6</f>
        <v>5.0781501937151523</v>
      </c>
      <c r="G106" s="134">
        <f>SUM(G100:G105)/6</f>
        <v>4.0119604052277476</v>
      </c>
      <c r="H106" s="53"/>
      <c r="I106" s="53"/>
      <c r="J106" s="53"/>
      <c r="K106" s="57"/>
      <c r="L106" s="53"/>
      <c r="M106" s="53"/>
      <c r="N106" s="53"/>
    </row>
    <row r="107" spans="1:14" x14ac:dyDescent="0.35">
      <c r="A107" s="2"/>
      <c r="B107" s="394" t="s">
        <v>77</v>
      </c>
      <c r="C107" s="3" t="s">
        <v>490</v>
      </c>
      <c r="D107" s="65">
        <v>50.27</v>
      </c>
      <c r="E107" s="55">
        <f>5209.39*100000/10284000</f>
        <v>50.655289770517314</v>
      </c>
      <c r="F107" s="101">
        <f>6893.07*100000/10284000</f>
        <v>67.027129521586929</v>
      </c>
      <c r="G107" s="101">
        <f>8440.22/112.34</f>
        <v>75.131030799359081</v>
      </c>
      <c r="H107" s="53"/>
      <c r="I107" s="53"/>
      <c r="J107" s="53"/>
      <c r="K107" s="53"/>
      <c r="L107" s="53"/>
      <c r="M107" s="53"/>
      <c r="N107" s="53"/>
    </row>
    <row r="108" spans="1:14" x14ac:dyDescent="0.4">
      <c r="A108" s="2"/>
      <c r="B108" s="394"/>
      <c r="C108" s="3" t="s">
        <v>73</v>
      </c>
      <c r="D108" s="54"/>
      <c r="E108" s="52"/>
      <c r="F108" s="20"/>
      <c r="G108" s="20"/>
      <c r="H108" s="53"/>
      <c r="I108" s="53"/>
      <c r="J108" s="53"/>
      <c r="K108" s="53"/>
      <c r="L108" s="53"/>
      <c r="M108" s="53"/>
      <c r="N108" s="53"/>
    </row>
    <row r="109" spans="1:14" x14ac:dyDescent="0.4">
      <c r="A109" s="2"/>
      <c r="B109" s="411"/>
      <c r="C109" s="21" t="s">
        <v>491</v>
      </c>
      <c r="D109" s="54">
        <v>183.28</v>
      </c>
      <c r="E109" s="52">
        <v>29288.51</v>
      </c>
      <c r="F109" s="101">
        <f>30909.43*100000/15754300</f>
        <v>196.19678436998151</v>
      </c>
      <c r="G109" s="101">
        <v>194.69</v>
      </c>
      <c r="H109" s="53"/>
      <c r="I109" s="53"/>
      <c r="J109" s="53"/>
      <c r="K109" s="53"/>
      <c r="L109" s="53"/>
      <c r="M109" s="53"/>
      <c r="N109" s="53"/>
    </row>
    <row r="110" spans="1:14" x14ac:dyDescent="0.4">
      <c r="A110" s="2"/>
      <c r="B110" s="411"/>
      <c r="C110" s="21" t="s">
        <v>492</v>
      </c>
      <c r="D110" s="54">
        <v>22.55</v>
      </c>
      <c r="E110" s="52">
        <v>17882</v>
      </c>
      <c r="F110" s="20" t="s">
        <v>84</v>
      </c>
      <c r="G110" s="20">
        <v>26.26</v>
      </c>
      <c r="H110" s="53"/>
      <c r="I110" s="53"/>
      <c r="J110" s="53"/>
      <c r="K110" s="53"/>
      <c r="L110" s="53"/>
      <c r="M110" s="53"/>
      <c r="N110" s="53"/>
    </row>
    <row r="111" spans="1:14" x14ac:dyDescent="0.4">
      <c r="A111" s="2"/>
      <c r="B111" s="411"/>
      <c r="C111" s="21" t="s">
        <v>493</v>
      </c>
      <c r="D111" s="54">
        <v>81.900000000000006</v>
      </c>
      <c r="E111" s="52">
        <v>11354.87</v>
      </c>
      <c r="F111" s="101">
        <f>11221.07*100000/6255000</f>
        <v>179.39360511590726</v>
      </c>
      <c r="G111" s="101">
        <v>85.18</v>
      </c>
      <c r="H111" s="53"/>
      <c r="I111" s="53"/>
      <c r="J111" s="53"/>
      <c r="K111" s="53"/>
      <c r="L111" s="53"/>
      <c r="M111" s="53"/>
      <c r="N111" s="53"/>
    </row>
    <row r="112" spans="1:14" x14ac:dyDescent="0.4">
      <c r="A112" s="2"/>
      <c r="B112" s="411"/>
      <c r="C112" s="21" t="s">
        <v>494</v>
      </c>
      <c r="D112" s="23">
        <v>130.69</v>
      </c>
      <c r="E112" s="52">
        <v>11098.07</v>
      </c>
      <c r="F112" s="101">
        <f>11249.6*100000/8129600</f>
        <v>138.37827199370201</v>
      </c>
      <c r="G112" s="101">
        <v>148.57</v>
      </c>
      <c r="H112" s="53"/>
      <c r="I112" s="53"/>
      <c r="J112" s="53"/>
      <c r="K112" s="53"/>
      <c r="L112" s="53"/>
      <c r="M112" s="53"/>
      <c r="N112" s="53"/>
    </row>
    <row r="113" spans="1:14" x14ac:dyDescent="0.4">
      <c r="A113" s="2"/>
      <c r="B113" s="411"/>
      <c r="C113" s="21" t="s">
        <v>495</v>
      </c>
      <c r="D113" s="54">
        <v>30.14</v>
      </c>
      <c r="E113" s="52">
        <v>7794.79</v>
      </c>
      <c r="F113" s="101">
        <f>8224.26*100000/249479000</f>
        <v>3.2965740603417522</v>
      </c>
      <c r="G113" s="101">
        <v>36.229999999999997</v>
      </c>
      <c r="H113" s="53"/>
      <c r="I113" s="53"/>
      <c r="J113" s="53"/>
      <c r="K113" s="53"/>
      <c r="L113" s="53"/>
      <c r="M113" s="53"/>
      <c r="N113" s="53"/>
    </row>
    <row r="114" spans="1:14" x14ac:dyDescent="0.4">
      <c r="A114" s="2"/>
      <c r="B114" s="411"/>
      <c r="C114" s="21" t="s">
        <v>496</v>
      </c>
      <c r="D114" s="54">
        <v>220.94</v>
      </c>
      <c r="E114" s="52">
        <f>10119*100000/42700000</f>
        <v>23.697892271662763</v>
      </c>
      <c r="F114" s="101">
        <f>SUM(F108:F113)/6</f>
        <v>86.210872589988753</v>
      </c>
      <c r="G114" s="101">
        <f>12931/42.7</f>
        <v>302.83372365339574</v>
      </c>
      <c r="H114" s="53"/>
      <c r="I114" s="53"/>
      <c r="J114" s="53"/>
      <c r="K114" s="53"/>
      <c r="L114" s="53"/>
      <c r="M114" s="53"/>
      <c r="N114" s="53"/>
    </row>
    <row r="115" spans="1:14" x14ac:dyDescent="0.4">
      <c r="A115" s="2"/>
      <c r="B115" s="411"/>
      <c r="C115" s="3" t="s">
        <v>74</v>
      </c>
      <c r="D115" s="76"/>
      <c r="E115" s="52"/>
      <c r="F115" s="127">
        <f>SUM(F109:F114)/6</f>
        <v>100.57935135498688</v>
      </c>
      <c r="G115" s="127">
        <f>SUM(G109:G114)/6</f>
        <v>132.29395394223263</v>
      </c>
      <c r="H115" s="53"/>
      <c r="I115" s="53"/>
      <c r="J115" s="53"/>
      <c r="K115" s="53"/>
      <c r="L115" s="53"/>
      <c r="M115" s="53"/>
      <c r="N115" s="53"/>
    </row>
    <row r="116" spans="1:14" s="1" customFormat="1" x14ac:dyDescent="0.4">
      <c r="B116" s="412"/>
      <c r="C116" s="413"/>
      <c r="D116" s="413"/>
      <c r="E116" s="413"/>
      <c r="F116" s="413"/>
      <c r="G116" s="414"/>
    </row>
    <row r="117" spans="1:14" ht="12.7" customHeight="1" x14ac:dyDescent="0.4">
      <c r="A117" s="2"/>
      <c r="B117" s="415" t="s">
        <v>497</v>
      </c>
      <c r="C117" s="416"/>
      <c r="D117" s="416"/>
      <c r="E117" s="416"/>
      <c r="F117" s="416"/>
      <c r="G117" s="417"/>
      <c r="H117" s="53"/>
      <c r="I117" s="53"/>
      <c r="J117" s="53"/>
      <c r="K117" s="53"/>
      <c r="L117" s="53"/>
      <c r="M117" s="53"/>
      <c r="N117" s="53"/>
    </row>
    <row r="118" spans="1:14" ht="12.7" customHeight="1" x14ac:dyDescent="0.4">
      <c r="A118" s="2"/>
      <c r="B118" s="418" t="s">
        <v>85</v>
      </c>
      <c r="C118" s="419"/>
      <c r="D118" s="419"/>
      <c r="E118" s="419"/>
      <c r="F118" s="419"/>
      <c r="G118" s="420"/>
      <c r="H118" s="53"/>
      <c r="I118" s="53"/>
      <c r="J118" s="53"/>
      <c r="K118" s="53"/>
      <c r="L118" s="53"/>
      <c r="M118" s="53"/>
      <c r="N118" s="53"/>
    </row>
    <row r="119" spans="1:14" x14ac:dyDescent="0.4">
      <c r="A119" s="2"/>
      <c r="B119" s="363"/>
      <c r="C119" s="368"/>
      <c r="D119" s="368"/>
      <c r="E119" s="368"/>
      <c r="F119" s="368"/>
      <c r="G119" s="369"/>
      <c r="H119" s="53"/>
      <c r="I119" s="53"/>
      <c r="J119" s="53"/>
      <c r="K119" s="53"/>
      <c r="L119" s="53"/>
      <c r="M119" s="53"/>
      <c r="N119" s="53"/>
    </row>
    <row r="120" spans="1:14" x14ac:dyDescent="0.4">
      <c r="C120" s="407"/>
      <c r="D120" s="407"/>
      <c r="E120" s="407"/>
      <c r="F120" s="407"/>
      <c r="G120" s="407"/>
      <c r="H120" s="53"/>
      <c r="I120" s="53"/>
    </row>
    <row r="121" spans="1:14" x14ac:dyDescent="0.4">
      <c r="A121" s="9">
        <v>14</v>
      </c>
      <c r="B121" s="61" t="s">
        <v>78</v>
      </c>
      <c r="C121" s="356" t="s">
        <v>41</v>
      </c>
      <c r="D121" s="357"/>
      <c r="E121" s="357"/>
      <c r="F121" s="357"/>
      <c r="G121" s="408"/>
    </row>
    <row r="122" spans="1:14" x14ac:dyDescent="0.4">
      <c r="A122" s="23"/>
      <c r="C122" s="69"/>
      <c r="D122" s="104"/>
      <c r="E122" s="69"/>
      <c r="F122" s="69"/>
      <c r="G122" s="69"/>
    </row>
    <row r="123" spans="1:14" ht="12.7" customHeight="1" x14ac:dyDescent="0.4">
      <c r="B123" s="409" t="s">
        <v>478</v>
      </c>
      <c r="C123" s="410"/>
      <c r="D123" s="410"/>
      <c r="E123" s="410"/>
      <c r="F123" s="410"/>
      <c r="G123" s="410"/>
      <c r="H123" s="410"/>
    </row>
  </sheetData>
  <sheetProtection password="EB7F" sheet="1" objects="1" scenarios="1"/>
  <mergeCells count="58">
    <mergeCell ref="B123:H123"/>
    <mergeCell ref="B116:G116"/>
    <mergeCell ref="B117:G117"/>
    <mergeCell ref="B118:G118"/>
    <mergeCell ref="B119:G119"/>
    <mergeCell ref="C120:G120"/>
    <mergeCell ref="C121:G121"/>
    <mergeCell ref="B74:N74"/>
    <mergeCell ref="B75:N75"/>
    <mergeCell ref="B77:G77"/>
    <mergeCell ref="B80:B88"/>
    <mergeCell ref="B89:B97"/>
    <mergeCell ref="B98:B106"/>
    <mergeCell ref="B107:B115"/>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pageSetup paperSize="9" orientation="portrait"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15"/>
  <sheetViews>
    <sheetView topLeftCell="A94" workbookViewId="0">
      <selection activeCell="B75" sqref="B75:N75"/>
    </sheetView>
  </sheetViews>
  <sheetFormatPr defaultColWidth="8.84375" defaultRowHeight="13.25" x14ac:dyDescent="0.4"/>
  <cols>
    <col min="1" max="1" width="8.84375" style="8"/>
    <col min="2" max="3" width="40.84375" style="8" customWidth="1"/>
    <col min="4" max="4" width="27.4609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498</v>
      </c>
    </row>
    <row r="4" spans="1:5" x14ac:dyDescent="0.4">
      <c r="D4" s="5"/>
    </row>
    <row r="5" spans="1:5" ht="21" customHeight="1" x14ac:dyDescent="0.4">
      <c r="A5" s="6">
        <v>1</v>
      </c>
      <c r="B5" s="7" t="s">
        <v>3</v>
      </c>
      <c r="C5" s="356" t="s">
        <v>197</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499</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500</v>
      </c>
      <c r="D14" s="5"/>
    </row>
    <row r="15" spans="1:5" ht="14.35" customHeight="1" x14ac:dyDescent="0.4">
      <c r="A15" s="9"/>
      <c r="B15" s="363" t="s">
        <v>10</v>
      </c>
      <c r="C15" s="364"/>
      <c r="D15" s="5"/>
    </row>
    <row r="16" spans="1:5" x14ac:dyDescent="0.4">
      <c r="A16" s="9"/>
      <c r="D16" s="5"/>
    </row>
    <row r="17" spans="1:14" ht="30.05"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501</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12.7" customHeight="1" x14ac:dyDescent="0.4">
      <c r="A26" s="9">
        <v>6</v>
      </c>
      <c r="B26" s="365" t="s">
        <v>18</v>
      </c>
      <c r="C26" s="365"/>
      <c r="D26" s="365"/>
      <c r="E26" s="365"/>
      <c r="F26" s="11"/>
      <c r="G26" s="11"/>
      <c r="H26" s="13"/>
      <c r="I26" s="11"/>
      <c r="J26" s="11"/>
    </row>
    <row r="27" spans="1:14" x14ac:dyDescent="0.4">
      <c r="A27" s="9"/>
      <c r="B27" s="370" t="s">
        <v>457</v>
      </c>
      <c r="C27" s="371"/>
      <c r="D27" s="371"/>
      <c r="E27" s="372"/>
      <c r="F27" s="15"/>
    </row>
    <row r="28" spans="1:14" x14ac:dyDescent="0.4">
      <c r="A28" s="9"/>
      <c r="B28" s="17" t="s">
        <v>20</v>
      </c>
      <c r="C28" s="18" t="s">
        <v>262</v>
      </c>
      <c r="D28" s="18" t="s">
        <v>22</v>
      </c>
      <c r="E28" s="18" t="s">
        <v>293</v>
      </c>
      <c r="F28" s="15"/>
    </row>
    <row r="29" spans="1:14" ht="12.7" customHeight="1" x14ac:dyDescent="0.4">
      <c r="A29" s="9"/>
      <c r="B29" s="19" t="s">
        <v>24</v>
      </c>
      <c r="C29" s="101">
        <v>13297.41</v>
      </c>
      <c r="D29" s="101">
        <f>1653857139/100000</f>
        <v>16538.571390000001</v>
      </c>
      <c r="E29" s="101">
        <v>24299.119999999999</v>
      </c>
      <c r="F29" s="15"/>
    </row>
    <row r="30" spans="1:14" x14ac:dyDescent="0.4">
      <c r="A30" s="9"/>
      <c r="B30" s="19" t="s">
        <v>25</v>
      </c>
      <c r="C30" s="101">
        <v>1551.24</v>
      </c>
      <c r="D30" s="101">
        <v>1703.82</v>
      </c>
      <c r="E30" s="101">
        <v>3350.14</v>
      </c>
      <c r="F30" s="15"/>
    </row>
    <row r="31" spans="1:14" x14ac:dyDescent="0.4">
      <c r="A31" s="9"/>
      <c r="B31" s="19" t="s">
        <v>26</v>
      </c>
      <c r="C31" s="101">
        <v>2442.46</v>
      </c>
      <c r="D31" s="101">
        <v>2442.46</v>
      </c>
      <c r="E31" s="101">
        <v>3190.66</v>
      </c>
      <c r="F31" s="15"/>
    </row>
    <row r="32" spans="1:14" x14ac:dyDescent="0.4">
      <c r="A32" s="9"/>
      <c r="B32" s="19" t="s">
        <v>27</v>
      </c>
      <c r="C32" s="101">
        <v>6558.7</v>
      </c>
      <c r="D32" s="101">
        <v>4854.8900000000003</v>
      </c>
      <c r="E32" s="101">
        <v>15222.09</v>
      </c>
      <c r="F32" s="15"/>
    </row>
    <row r="33" spans="1:10" x14ac:dyDescent="0.4">
      <c r="A33" s="9"/>
      <c r="B33" s="363" t="s">
        <v>204</v>
      </c>
      <c r="C33" s="368"/>
      <c r="D33" s="368"/>
      <c r="E33" s="369"/>
      <c r="F33" s="15"/>
    </row>
    <row r="34" spans="1:10" x14ac:dyDescent="0.4">
      <c r="A34" s="9"/>
      <c r="B34" s="13"/>
      <c r="C34" s="15"/>
      <c r="D34" s="15"/>
      <c r="E34" s="15"/>
      <c r="F34" s="15"/>
    </row>
    <row r="35" spans="1:10" ht="27.75"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814</v>
      </c>
      <c r="D38" s="13"/>
      <c r="E38" s="13"/>
      <c r="F38" s="13"/>
    </row>
    <row r="39" spans="1:10" x14ac:dyDescent="0.4">
      <c r="A39" s="9"/>
      <c r="B39" s="359" t="s">
        <v>17</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ht="42.75" customHeight="1" x14ac:dyDescent="0.4">
      <c r="A44" s="9"/>
      <c r="B44" s="17" t="s">
        <v>31</v>
      </c>
      <c r="C44" s="373" t="s">
        <v>752</v>
      </c>
      <c r="D44" s="374"/>
      <c r="E44" s="375"/>
      <c r="F44" s="13"/>
    </row>
    <row r="45" spans="1:10" x14ac:dyDescent="0.4">
      <c r="A45" s="9"/>
      <c r="B45" s="17" t="s">
        <v>32</v>
      </c>
      <c r="C45" s="446" t="s">
        <v>819</v>
      </c>
      <c r="D45" s="446"/>
      <c r="E45" s="446"/>
      <c r="F45" s="13"/>
    </row>
    <row r="46" spans="1:10" ht="12.7" customHeight="1" x14ac:dyDescent="0.4">
      <c r="A46" s="9"/>
      <c r="B46" s="363" t="s">
        <v>35</v>
      </c>
      <c r="C46" s="368"/>
      <c r="D46" s="368"/>
      <c r="E46" s="369"/>
      <c r="F46" s="13"/>
    </row>
    <row r="47" spans="1:10" x14ac:dyDescent="0.4">
      <c r="A47" s="2"/>
      <c r="D47" s="23"/>
      <c r="E47" s="13"/>
    </row>
    <row r="48" spans="1:10" ht="12.7" customHeight="1"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106.05" x14ac:dyDescent="0.4">
      <c r="A50" s="29"/>
      <c r="B50" s="78" t="s">
        <v>307</v>
      </c>
      <c r="C50" s="78" t="s">
        <v>502</v>
      </c>
      <c r="D50" s="112" t="s">
        <v>674</v>
      </c>
      <c r="E50" s="78" t="s">
        <v>675</v>
      </c>
    </row>
    <row r="51" spans="1:14" ht="12.7" customHeight="1" x14ac:dyDescent="0.4">
      <c r="A51" s="31"/>
      <c r="B51" s="380" t="s">
        <v>676</v>
      </c>
      <c r="C51" s="381"/>
      <c r="D51" s="381"/>
      <c r="E51" s="382"/>
      <c r="F51" s="15"/>
      <c r="G51" s="15"/>
      <c r="H51" s="15"/>
    </row>
    <row r="52" spans="1:14" x14ac:dyDescent="0.4">
      <c r="A52" s="32"/>
      <c r="B52" s="62"/>
      <c r="C52" s="23"/>
      <c r="D52" s="23"/>
      <c r="E52" s="23"/>
      <c r="F52" s="15"/>
      <c r="G52" s="15"/>
      <c r="H52" s="15"/>
      <c r="I52" s="15"/>
    </row>
    <row r="53" spans="1:14" ht="30.05" customHeight="1" x14ac:dyDescent="0.4">
      <c r="A53" s="24">
        <v>10</v>
      </c>
      <c r="B53" s="376" t="s">
        <v>36</v>
      </c>
      <c r="C53" s="365"/>
      <c r="D53" s="365"/>
      <c r="E53" s="365"/>
      <c r="F53" s="15"/>
      <c r="G53" s="15"/>
      <c r="H53" s="15"/>
    </row>
    <row r="54" spans="1:14" ht="14.25" customHeight="1" x14ac:dyDescent="0.4">
      <c r="A54" s="29"/>
      <c r="B54" s="383" t="s">
        <v>43</v>
      </c>
      <c r="C54" s="385" t="s">
        <v>751</v>
      </c>
      <c r="D54" s="386"/>
      <c r="E54" s="387"/>
      <c r="K54" s="1"/>
    </row>
    <row r="55" spans="1:14" ht="54" customHeight="1"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ht="12.7" customHeight="1" x14ac:dyDescent="0.4">
      <c r="A58" s="29"/>
      <c r="B58" s="380" t="s">
        <v>676</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ht="12.7" customHeight="1"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43"/>
      <c r="F64" s="43"/>
      <c r="G64" s="11"/>
      <c r="H64" s="11"/>
      <c r="I64" s="11"/>
      <c r="J64" s="11"/>
      <c r="K64" s="11"/>
      <c r="L64" s="11"/>
      <c r="M64" s="11"/>
      <c r="N64" s="11"/>
    </row>
    <row r="65" spans="1:14" x14ac:dyDescent="0.4">
      <c r="A65" s="9"/>
      <c r="B65" s="17" t="s">
        <v>52</v>
      </c>
      <c r="C65" s="19" t="s">
        <v>503</v>
      </c>
      <c r="D65" s="15"/>
      <c r="E65" s="15"/>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ht="12.7" customHeight="1" x14ac:dyDescent="0.4">
      <c r="A67" s="9"/>
      <c r="B67" s="365" t="s">
        <v>53</v>
      </c>
      <c r="C67" s="366" t="s">
        <v>504</v>
      </c>
      <c r="D67" s="366" t="s">
        <v>271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61</v>
      </c>
      <c r="C69" s="45">
        <v>49.02</v>
      </c>
      <c r="D69" s="46">
        <v>61.02</v>
      </c>
      <c r="E69" s="46">
        <v>91</v>
      </c>
      <c r="F69" s="46">
        <v>103.7</v>
      </c>
      <c r="G69" s="46">
        <v>116</v>
      </c>
      <c r="H69" s="45">
        <v>43</v>
      </c>
      <c r="I69" s="45">
        <v>76</v>
      </c>
      <c r="J69" s="45">
        <v>116.5</v>
      </c>
      <c r="K69" s="45">
        <v>70.599999999999994</v>
      </c>
      <c r="L69" s="45">
        <v>47.3</v>
      </c>
      <c r="M69" s="45">
        <v>90</v>
      </c>
      <c r="N69" s="45">
        <v>36.15</v>
      </c>
    </row>
    <row r="70" spans="1:14" ht="25.65" x14ac:dyDescent="0.35">
      <c r="A70" s="2"/>
      <c r="B70" s="17" t="s">
        <v>444</v>
      </c>
      <c r="C70" s="45">
        <v>31592.03</v>
      </c>
      <c r="D70" s="45">
        <v>33731.19</v>
      </c>
      <c r="E70" s="45">
        <v>33793.379999999997</v>
      </c>
      <c r="F70" s="46">
        <v>32968.68</v>
      </c>
      <c r="G70" s="46">
        <v>36443.980000000003</v>
      </c>
      <c r="H70" s="48">
        <v>29241.48</v>
      </c>
      <c r="I70" s="45">
        <v>38672.910000000003</v>
      </c>
      <c r="J70" s="45">
        <v>38989.65</v>
      </c>
      <c r="K70" s="45">
        <v>32972.559999999998</v>
      </c>
      <c r="L70" s="45">
        <v>8597.75</v>
      </c>
      <c r="M70" s="45">
        <v>12430.5</v>
      </c>
      <c r="N70" s="45">
        <v>7511.1</v>
      </c>
    </row>
    <row r="71" spans="1:14" x14ac:dyDescent="0.4">
      <c r="A71" s="2"/>
      <c r="B71" s="401" t="s">
        <v>17</v>
      </c>
      <c r="C71" s="401"/>
      <c r="D71" s="401"/>
      <c r="E71" s="401"/>
      <c r="F71" s="401"/>
      <c r="G71" s="401"/>
      <c r="H71" s="401"/>
      <c r="I71" s="401"/>
      <c r="J71" s="401"/>
      <c r="K71" s="401"/>
      <c r="L71" s="401"/>
      <c r="M71" s="401"/>
      <c r="N71" s="401"/>
    </row>
    <row r="72" spans="1:14" ht="12.7" customHeight="1" x14ac:dyDescent="0.4">
      <c r="A72" s="2"/>
      <c r="B72" s="359" t="s">
        <v>63</v>
      </c>
      <c r="C72" s="359"/>
      <c r="D72" s="359"/>
      <c r="E72" s="359"/>
      <c r="F72" s="359"/>
      <c r="G72" s="359"/>
      <c r="H72" s="359"/>
      <c r="I72" s="359"/>
      <c r="J72" s="359"/>
      <c r="K72" s="359"/>
      <c r="L72" s="359"/>
      <c r="M72" s="359"/>
      <c r="N72" s="359"/>
    </row>
    <row r="73" spans="1:14" s="1" customFormat="1" ht="12.7" customHeight="1" x14ac:dyDescent="0.4">
      <c r="B73" s="359" t="s">
        <v>64</v>
      </c>
      <c r="C73" s="359"/>
      <c r="D73" s="359"/>
      <c r="E73" s="359"/>
      <c r="F73" s="359"/>
      <c r="G73" s="359"/>
      <c r="H73" s="359"/>
      <c r="I73" s="359"/>
      <c r="J73" s="359"/>
      <c r="K73" s="359"/>
      <c r="L73" s="359"/>
      <c r="M73" s="359"/>
      <c r="N73" s="359"/>
    </row>
    <row r="74" spans="1:14" ht="12.7" customHeight="1" x14ac:dyDescent="0.4">
      <c r="A74" s="2"/>
      <c r="B74" s="359" t="s">
        <v>358</v>
      </c>
      <c r="C74" s="359"/>
      <c r="D74" s="359"/>
      <c r="E74" s="359"/>
      <c r="F74" s="359"/>
      <c r="G74" s="359"/>
      <c r="H74" s="359"/>
      <c r="I74" s="359"/>
      <c r="J74" s="359"/>
      <c r="K74" s="359"/>
      <c r="L74" s="359"/>
      <c r="M74" s="359"/>
      <c r="N74" s="359"/>
    </row>
    <row r="75" spans="1:14" ht="12.7" customHeight="1"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ht="12.7" customHeight="1"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51.25" x14ac:dyDescent="0.4">
      <c r="A79" s="2"/>
      <c r="B79" s="50" t="s">
        <v>67</v>
      </c>
      <c r="C79" s="18" t="s">
        <v>68</v>
      </c>
      <c r="D79" s="18" t="s">
        <v>69</v>
      </c>
      <c r="E79" s="18" t="s">
        <v>218</v>
      </c>
      <c r="F79" s="18" t="s">
        <v>71</v>
      </c>
      <c r="G79" s="18" t="s">
        <v>107</v>
      </c>
      <c r="H79" s="13"/>
      <c r="I79" s="13"/>
      <c r="J79" s="13"/>
      <c r="K79" s="13"/>
      <c r="L79" s="13"/>
      <c r="M79" s="13"/>
      <c r="N79" s="13"/>
    </row>
    <row r="80" spans="1:14" ht="15.05" customHeight="1" x14ac:dyDescent="0.4">
      <c r="A80" s="2"/>
      <c r="B80" s="394" t="s">
        <v>72</v>
      </c>
      <c r="C80" s="3" t="s">
        <v>505</v>
      </c>
      <c r="D80" s="98" t="s">
        <v>506</v>
      </c>
      <c r="E80" s="66">
        <v>7.23</v>
      </c>
      <c r="F80" s="21">
        <v>6.98</v>
      </c>
      <c r="G80" s="21">
        <v>10.5</v>
      </c>
      <c r="H80" s="53"/>
      <c r="I80" s="53"/>
      <c r="J80" s="53"/>
      <c r="K80" s="53"/>
      <c r="L80" s="53"/>
      <c r="M80" s="53"/>
      <c r="N80" s="53"/>
    </row>
    <row r="81" spans="1:14" x14ac:dyDescent="0.4">
      <c r="A81" s="2"/>
      <c r="B81" s="394"/>
      <c r="C81" s="3" t="s">
        <v>73</v>
      </c>
      <c r="D81" s="54"/>
      <c r="E81" s="66"/>
      <c r="F81" s="21"/>
      <c r="G81" s="21"/>
      <c r="H81" s="53"/>
      <c r="I81" s="53"/>
      <c r="J81" s="53"/>
      <c r="K81" s="53"/>
      <c r="L81" s="53"/>
      <c r="M81" s="53"/>
      <c r="N81" s="53"/>
    </row>
    <row r="82" spans="1:14" x14ac:dyDescent="0.4">
      <c r="A82" s="2"/>
      <c r="B82" s="394"/>
      <c r="C82" s="21" t="s">
        <v>507</v>
      </c>
      <c r="D82" s="54">
        <v>1.31</v>
      </c>
      <c r="E82" s="66">
        <v>1.7</v>
      </c>
      <c r="F82" s="21">
        <v>1.78</v>
      </c>
      <c r="G82" s="21">
        <v>2.13</v>
      </c>
      <c r="H82" s="53"/>
      <c r="I82" s="53"/>
      <c r="J82" s="53"/>
      <c r="K82" s="53"/>
      <c r="L82" s="53"/>
      <c r="M82" s="53"/>
      <c r="N82" s="53"/>
    </row>
    <row r="83" spans="1:14" ht="14.6" x14ac:dyDescent="0.4">
      <c r="A83" s="2"/>
      <c r="B83" s="394"/>
      <c r="C83" s="21" t="s">
        <v>508</v>
      </c>
      <c r="D83" s="98">
        <v>4.99</v>
      </c>
      <c r="E83" s="66">
        <v>7.32</v>
      </c>
      <c r="F83" s="21">
        <v>2.59</v>
      </c>
      <c r="G83" s="21">
        <v>-5.1100000000000003</v>
      </c>
      <c r="H83" s="53"/>
      <c r="I83" s="53"/>
      <c r="J83" s="53"/>
      <c r="K83" s="53"/>
      <c r="L83" s="53"/>
      <c r="M83" s="53"/>
      <c r="N83" s="53"/>
    </row>
    <row r="84" spans="1:14" ht="26.5" x14ac:dyDescent="0.4">
      <c r="A84" s="2"/>
      <c r="B84" s="394"/>
      <c r="C84" s="21" t="s">
        <v>509</v>
      </c>
      <c r="D84" s="54" t="s">
        <v>510</v>
      </c>
      <c r="E84" s="66">
        <v>1.64</v>
      </c>
      <c r="F84" s="21">
        <v>2.62</v>
      </c>
      <c r="G84" s="21">
        <v>0.93</v>
      </c>
      <c r="H84" s="53"/>
      <c r="I84" s="53"/>
      <c r="J84" s="53"/>
      <c r="K84" s="53"/>
      <c r="L84" s="53"/>
      <c r="M84" s="53"/>
      <c r="N84" s="53"/>
    </row>
    <row r="85" spans="1:14" x14ac:dyDescent="0.4">
      <c r="A85" s="2"/>
      <c r="B85" s="394"/>
      <c r="C85" s="21" t="s">
        <v>511</v>
      </c>
      <c r="D85" s="54">
        <v>25.14</v>
      </c>
      <c r="E85" s="66">
        <v>8.9600000000000009</v>
      </c>
      <c r="F85" s="21">
        <v>20.010000000000002</v>
      </c>
      <c r="G85" s="21">
        <v>13.29</v>
      </c>
      <c r="H85" s="53"/>
      <c r="I85" s="53"/>
      <c r="J85" s="53"/>
      <c r="K85" s="53"/>
      <c r="L85" s="53"/>
      <c r="M85" s="53"/>
      <c r="N85" s="53"/>
    </row>
    <row r="86" spans="1:14" x14ac:dyDescent="0.4">
      <c r="A86" s="2"/>
      <c r="B86" s="394"/>
      <c r="C86" s="3" t="s">
        <v>74</v>
      </c>
      <c r="D86" s="76"/>
      <c r="E86" s="66"/>
      <c r="F86" s="21"/>
      <c r="G86" s="3">
        <f>SUM(G82:G85)/4</f>
        <v>2.8099999999999996</v>
      </c>
      <c r="H86" s="53"/>
      <c r="I86" s="53"/>
      <c r="J86" s="53"/>
      <c r="K86" s="53"/>
      <c r="L86" s="53"/>
      <c r="M86" s="53"/>
      <c r="N86" s="53"/>
    </row>
    <row r="87" spans="1:14" x14ac:dyDescent="0.35">
      <c r="A87" s="2"/>
      <c r="B87" s="394" t="s">
        <v>75</v>
      </c>
      <c r="C87" s="3" t="s">
        <v>505</v>
      </c>
      <c r="D87" s="77">
        <v>9.4440000000000008</v>
      </c>
      <c r="E87" s="70">
        <f>F69/E80</f>
        <v>14.343015214384508</v>
      </c>
      <c r="F87" s="120">
        <f>I69/F80</f>
        <v>10.888252148997134</v>
      </c>
      <c r="G87" s="120">
        <f>L69/G80</f>
        <v>4.5047619047619047</v>
      </c>
      <c r="H87" s="53"/>
      <c r="I87" s="53"/>
      <c r="J87" s="53"/>
      <c r="K87" s="53"/>
      <c r="L87" s="53"/>
      <c r="M87" s="53"/>
      <c r="N87" s="53"/>
    </row>
    <row r="88" spans="1:14" x14ac:dyDescent="0.4">
      <c r="A88" s="2"/>
      <c r="B88" s="394"/>
      <c r="C88" s="3" t="s">
        <v>73</v>
      </c>
      <c r="D88" s="54"/>
      <c r="E88" s="66"/>
      <c r="F88" s="21"/>
      <c r="G88" s="21"/>
      <c r="H88" s="53"/>
      <c r="I88" s="53"/>
      <c r="J88" s="53"/>
      <c r="K88" s="53"/>
      <c r="L88" s="53"/>
      <c r="M88" s="53"/>
      <c r="N88" s="53"/>
    </row>
    <row r="89" spans="1:14" x14ac:dyDescent="0.4">
      <c r="A89" s="2"/>
      <c r="B89" s="394"/>
      <c r="C89" s="21" t="s">
        <v>507</v>
      </c>
      <c r="D89" s="54">
        <v>74.430000000000007</v>
      </c>
      <c r="E89" s="70">
        <f>50.2/E82</f>
        <v>29.529411764705884</v>
      </c>
      <c r="F89" s="120">
        <f>46.65/F82</f>
        <v>26.207865168539325</v>
      </c>
      <c r="G89" s="120">
        <v>8.92</v>
      </c>
      <c r="H89" s="53"/>
      <c r="I89" s="53"/>
      <c r="J89" s="53"/>
      <c r="K89" s="53"/>
      <c r="L89" s="53"/>
      <c r="M89" s="53"/>
      <c r="N89" s="53"/>
    </row>
    <row r="90" spans="1:14" x14ac:dyDescent="0.4">
      <c r="A90" s="2"/>
      <c r="B90" s="394"/>
      <c r="C90" s="21" t="s">
        <v>508</v>
      </c>
      <c r="D90" s="54">
        <v>61.15</v>
      </c>
      <c r="E90" s="70">
        <f>147.6/E83</f>
        <v>20.163934426229506</v>
      </c>
      <c r="F90" s="120">
        <f>105/F83</f>
        <v>40.54054054054054</v>
      </c>
      <c r="G90" s="120">
        <v>0</v>
      </c>
      <c r="H90" s="53"/>
      <c r="I90" s="53"/>
      <c r="J90" s="53"/>
      <c r="K90" s="53"/>
      <c r="L90" s="53"/>
      <c r="M90" s="53"/>
      <c r="N90" s="53"/>
    </row>
    <row r="91" spans="1:14" x14ac:dyDescent="0.4">
      <c r="A91" s="2"/>
      <c r="B91" s="394"/>
      <c r="C91" s="21" t="s">
        <v>509</v>
      </c>
      <c r="D91" s="54">
        <v>34.869999999999997</v>
      </c>
      <c r="E91" s="70">
        <f>238.35/E84</f>
        <v>145.33536585365854</v>
      </c>
      <c r="F91" s="120">
        <f>197/F84</f>
        <v>75.190839694656489</v>
      </c>
      <c r="G91" s="120">
        <v>41.09</v>
      </c>
      <c r="H91" s="53"/>
      <c r="I91" s="53"/>
      <c r="J91" s="53"/>
      <c r="K91" s="53"/>
      <c r="L91" s="53"/>
      <c r="M91" s="53"/>
      <c r="N91" s="53"/>
    </row>
    <row r="92" spans="1:14" x14ac:dyDescent="0.4">
      <c r="A92" s="2"/>
      <c r="B92" s="394"/>
      <c r="C92" s="21" t="s">
        <v>511</v>
      </c>
      <c r="D92" s="54">
        <v>50.16</v>
      </c>
      <c r="E92" s="70">
        <f>1005.9/E85</f>
        <v>112.26562499999999</v>
      </c>
      <c r="F92" s="120">
        <f>600.1/F85</f>
        <v>29.990004997501249</v>
      </c>
      <c r="G92" s="120">
        <v>37.549999999999997</v>
      </c>
      <c r="H92" s="53"/>
      <c r="I92" s="53"/>
      <c r="J92" s="53"/>
      <c r="K92" s="53"/>
      <c r="L92" s="53"/>
      <c r="M92" s="53"/>
      <c r="N92" s="53"/>
    </row>
    <row r="93" spans="1:14" x14ac:dyDescent="0.4">
      <c r="A93" s="2"/>
      <c r="B93" s="394"/>
      <c r="C93" s="3" t="s">
        <v>74</v>
      </c>
      <c r="D93" s="76"/>
      <c r="E93" s="66"/>
      <c r="F93" s="21"/>
      <c r="G93" s="3">
        <f>SUM(G89:G92)/4</f>
        <v>21.89</v>
      </c>
      <c r="H93" s="53"/>
      <c r="I93" s="53"/>
      <c r="J93" s="53"/>
      <c r="K93" s="53"/>
      <c r="L93" s="53"/>
      <c r="M93" s="53"/>
      <c r="N93" s="53"/>
    </row>
    <row r="94" spans="1:14" x14ac:dyDescent="0.35">
      <c r="A94" s="2"/>
      <c r="B94" s="394" t="s">
        <v>76</v>
      </c>
      <c r="C94" s="3" t="s">
        <v>505</v>
      </c>
      <c r="D94" s="97">
        <v>0.24099999999999999</v>
      </c>
      <c r="E94" s="71">
        <f>155123626/729734478</f>
        <v>0.21257543761006178</v>
      </c>
      <c r="F94" s="120">
        <f>170381554/900116032*100</f>
        <v>18.928843387160114</v>
      </c>
      <c r="G94" s="120">
        <f>335013621/1841275092*100</f>
        <v>18.194653392943415</v>
      </c>
      <c r="H94" s="53"/>
      <c r="I94" s="53"/>
      <c r="J94" s="53"/>
      <c r="K94" s="53"/>
      <c r="L94" s="53"/>
      <c r="M94" s="53"/>
      <c r="N94" s="53"/>
    </row>
    <row r="95" spans="1:14" x14ac:dyDescent="0.4">
      <c r="A95" s="2"/>
      <c r="B95" s="394"/>
      <c r="C95" s="3" t="s">
        <v>73</v>
      </c>
      <c r="D95" s="54"/>
      <c r="E95" s="66"/>
      <c r="F95" s="21"/>
      <c r="G95" s="21"/>
      <c r="H95" s="53"/>
      <c r="I95" s="53"/>
      <c r="J95" s="53"/>
      <c r="K95" s="53"/>
      <c r="L95" s="53"/>
      <c r="M95" s="53"/>
      <c r="N95" s="53"/>
    </row>
    <row r="96" spans="1:14" x14ac:dyDescent="0.4">
      <c r="A96" s="2"/>
      <c r="B96" s="394"/>
      <c r="C96" s="21" t="s">
        <v>507</v>
      </c>
      <c r="D96" s="54">
        <v>0.25480000000000003</v>
      </c>
      <c r="E96" s="147">
        <f>956.59/5535.32*100</f>
        <v>17.281566377372943</v>
      </c>
      <c r="F96" s="120">
        <f>999.11/2147.81*100</f>
        <v>46.517615617768797</v>
      </c>
      <c r="G96" s="120">
        <v>47.26</v>
      </c>
      <c r="H96" s="53"/>
      <c r="I96" s="53"/>
      <c r="J96" s="53"/>
      <c r="K96" s="53"/>
      <c r="L96" s="53"/>
      <c r="M96" s="53"/>
      <c r="N96" s="53"/>
    </row>
    <row r="97" spans="1:14" x14ac:dyDescent="0.4">
      <c r="A97" s="2"/>
      <c r="B97" s="394"/>
      <c r="C97" s="21" t="s">
        <v>508</v>
      </c>
      <c r="D97" s="54">
        <v>9.4500000000000001E-2</v>
      </c>
      <c r="E97" s="147">
        <f>489.46/13399.97*100</f>
        <v>3.652694744838981</v>
      </c>
      <c r="F97" s="120">
        <f>636.64/13474.45*100</f>
        <v>4.7247939619056805</v>
      </c>
      <c r="G97" s="120">
        <v>-10.1</v>
      </c>
      <c r="H97" s="53"/>
      <c r="I97" s="53"/>
      <c r="J97" s="53"/>
      <c r="K97" s="53"/>
      <c r="L97" s="53"/>
      <c r="M97" s="53"/>
      <c r="N97" s="53"/>
    </row>
    <row r="98" spans="1:14" x14ac:dyDescent="0.4">
      <c r="A98" s="2"/>
      <c r="B98" s="394"/>
      <c r="C98" s="21" t="s">
        <v>509</v>
      </c>
      <c r="D98" s="54">
        <v>0.13719999999999999</v>
      </c>
      <c r="E98" s="147">
        <f>142.66/3357.2*100</f>
        <v>4.2493744787322774</v>
      </c>
      <c r="F98" s="120">
        <f>246.32/7676.99*100</f>
        <v>3.2085491839900797</v>
      </c>
      <c r="G98" s="120">
        <v>2.4700000000000002</v>
      </c>
      <c r="H98" s="53"/>
      <c r="I98" s="53"/>
      <c r="J98" s="53"/>
      <c r="K98" s="53"/>
      <c r="L98" s="53"/>
      <c r="M98" s="53"/>
      <c r="N98" s="53"/>
    </row>
    <row r="99" spans="1:14" x14ac:dyDescent="0.4">
      <c r="A99" s="2"/>
      <c r="B99" s="394"/>
      <c r="C99" s="21" t="s">
        <v>511</v>
      </c>
      <c r="D99" s="54">
        <v>0.2263</v>
      </c>
      <c r="E99" s="147">
        <f>12969/73384*100</f>
        <v>17.672789708928377</v>
      </c>
      <c r="F99" s="120">
        <f>29032/309423*100</f>
        <v>9.3826250795836117</v>
      </c>
      <c r="G99" s="120">
        <v>7.45</v>
      </c>
      <c r="H99" s="53"/>
      <c r="I99" s="53"/>
      <c r="J99" s="53"/>
      <c r="K99" s="53"/>
      <c r="L99" s="53"/>
      <c r="M99" s="53"/>
      <c r="N99" s="53"/>
    </row>
    <row r="100" spans="1:14" x14ac:dyDescent="0.4">
      <c r="A100" s="2"/>
      <c r="B100" s="394"/>
      <c r="C100" s="3" t="s">
        <v>74</v>
      </c>
      <c r="D100" s="76"/>
      <c r="E100" s="66"/>
      <c r="F100" s="21"/>
      <c r="G100" s="3">
        <f>SUM(G96:G99)/4</f>
        <v>11.77</v>
      </c>
      <c r="H100" s="53"/>
      <c r="I100" s="53"/>
      <c r="J100" s="53"/>
      <c r="K100" s="57"/>
      <c r="L100" s="53"/>
      <c r="M100" s="53"/>
      <c r="N100" s="53"/>
    </row>
    <row r="101" spans="1:14" x14ac:dyDescent="0.35">
      <c r="A101" s="2"/>
      <c r="B101" s="394" t="s">
        <v>77</v>
      </c>
      <c r="C101" s="3" t="s">
        <v>505</v>
      </c>
      <c r="D101" s="65">
        <v>18.100000000000001</v>
      </c>
      <c r="E101" s="70">
        <f>729734478/24424588</f>
        <v>29.877043494039693</v>
      </c>
      <c r="F101" s="120">
        <f>900116032/24424588</f>
        <v>36.852864498676496</v>
      </c>
      <c r="G101" s="120">
        <f>1841275092/31906588</f>
        <v>57.708304379020404</v>
      </c>
      <c r="H101" s="53"/>
      <c r="I101" s="53"/>
      <c r="J101" s="53"/>
      <c r="K101" s="53"/>
      <c r="L101" s="53"/>
      <c r="M101" s="53"/>
      <c r="N101" s="53"/>
    </row>
    <row r="102" spans="1:14" x14ac:dyDescent="0.4">
      <c r="A102" s="2"/>
      <c r="B102" s="394"/>
      <c r="C102" s="3" t="s">
        <v>73</v>
      </c>
      <c r="D102" s="54"/>
      <c r="E102" s="66"/>
      <c r="F102" s="21"/>
      <c r="G102" s="21"/>
      <c r="H102" s="53"/>
      <c r="I102" s="53"/>
      <c r="J102" s="53"/>
      <c r="K102" s="53"/>
      <c r="L102" s="53"/>
      <c r="M102" s="53"/>
      <c r="N102" s="53"/>
    </row>
    <row r="103" spans="1:14" x14ac:dyDescent="0.4">
      <c r="A103" s="2"/>
      <c r="B103" s="411"/>
      <c r="C103" s="21" t="s">
        <v>507</v>
      </c>
      <c r="D103" s="54">
        <v>6.08</v>
      </c>
      <c r="E103" s="70">
        <f>5535.32/561.22</f>
        <v>9.8630127222835959</v>
      </c>
      <c r="F103" s="120">
        <f>2147.81*100000/56301000</f>
        <v>3.814870073355713</v>
      </c>
      <c r="G103" s="120">
        <v>5.37</v>
      </c>
      <c r="H103" s="53"/>
      <c r="I103" s="53"/>
      <c r="J103" s="53"/>
      <c r="K103" s="53"/>
      <c r="L103" s="53"/>
      <c r="M103" s="53"/>
      <c r="N103" s="53"/>
    </row>
    <row r="104" spans="1:14" x14ac:dyDescent="0.4">
      <c r="A104" s="2"/>
      <c r="B104" s="411"/>
      <c r="C104" s="21" t="s">
        <v>508</v>
      </c>
      <c r="D104" s="54">
        <v>58.46</v>
      </c>
      <c r="E104" s="70">
        <f>13399.97/245.34</f>
        <v>54.617958751120888</v>
      </c>
      <c r="F104" s="120">
        <f>13474.45*100000/246190000</f>
        <v>5.4731914375076158</v>
      </c>
      <c r="G104" s="120">
        <v>47.34</v>
      </c>
      <c r="H104" s="53"/>
      <c r="I104" s="53"/>
      <c r="J104" s="53"/>
      <c r="K104" s="53"/>
      <c r="L104" s="53"/>
      <c r="M104" s="53"/>
      <c r="N104" s="53"/>
    </row>
    <row r="105" spans="1:14" x14ac:dyDescent="0.4">
      <c r="A105" s="2"/>
      <c r="B105" s="411"/>
      <c r="C105" s="21" t="s">
        <v>509</v>
      </c>
      <c r="D105" s="54">
        <v>52.98</v>
      </c>
      <c r="E105" s="70">
        <f>3357.2/91.55</f>
        <v>36.67067176406335</v>
      </c>
      <c r="F105" s="120">
        <f>7676.99*10000000/88780000</f>
        <v>864.72065780581215</v>
      </c>
      <c r="G105" s="120">
        <v>37.92</v>
      </c>
      <c r="H105" s="53"/>
      <c r="I105" s="53"/>
      <c r="J105" s="53"/>
      <c r="K105" s="53"/>
      <c r="L105" s="53"/>
      <c r="M105" s="53"/>
      <c r="N105" s="53"/>
    </row>
    <row r="106" spans="1:14" ht="13.5" customHeight="1" x14ac:dyDescent="0.4">
      <c r="A106" s="2"/>
      <c r="B106" s="411"/>
      <c r="C106" s="21" t="s">
        <v>511</v>
      </c>
      <c r="D106" s="54">
        <v>130.24</v>
      </c>
      <c r="E106" s="70">
        <f>73384/1451</f>
        <v>50.574776016540319</v>
      </c>
      <c r="F106" s="120">
        <f>309423*100000/14570000</f>
        <v>2123.6993822923814</v>
      </c>
      <c r="G106" s="120">
        <v>184.12</v>
      </c>
      <c r="H106" s="53"/>
      <c r="I106" s="53"/>
      <c r="J106" s="53"/>
      <c r="K106" s="53"/>
      <c r="L106" s="53"/>
      <c r="M106" s="53"/>
      <c r="N106" s="53"/>
    </row>
    <row r="107" spans="1:14" x14ac:dyDescent="0.4">
      <c r="A107" s="2"/>
      <c r="B107" s="411"/>
      <c r="C107" s="3" t="s">
        <v>74</v>
      </c>
      <c r="D107" s="76"/>
      <c r="E107" s="66"/>
      <c r="F107" s="21"/>
      <c r="G107" s="3">
        <f>SUM(G103:G106)/4</f>
        <v>68.6875</v>
      </c>
      <c r="H107" s="53"/>
      <c r="I107" s="53"/>
      <c r="J107" s="53"/>
      <c r="K107" s="53"/>
      <c r="L107" s="53"/>
      <c r="M107" s="53"/>
      <c r="N107" s="53"/>
    </row>
    <row r="108" spans="1:14" s="1" customFormat="1" x14ac:dyDescent="0.4">
      <c r="B108" s="451"/>
      <c r="C108" s="413"/>
      <c r="D108" s="413"/>
      <c r="E108" s="413"/>
      <c r="F108" s="413"/>
      <c r="G108" s="414"/>
    </row>
    <row r="109" spans="1:14" ht="12.7" customHeight="1" x14ac:dyDescent="0.4">
      <c r="A109" s="2"/>
      <c r="B109" s="415" t="s">
        <v>512</v>
      </c>
      <c r="C109" s="416"/>
      <c r="D109" s="416"/>
      <c r="E109" s="416"/>
      <c r="F109" s="416"/>
      <c r="G109" s="417"/>
      <c r="H109" s="53"/>
      <c r="I109" s="53"/>
      <c r="J109" s="53"/>
      <c r="K109" s="53"/>
      <c r="L109" s="53"/>
      <c r="M109" s="53"/>
      <c r="N109" s="53"/>
    </row>
    <row r="110" spans="1:14" ht="12.7" customHeight="1" x14ac:dyDescent="0.4">
      <c r="A110" s="2"/>
      <c r="B110" s="418" t="s">
        <v>85</v>
      </c>
      <c r="C110" s="419"/>
      <c r="D110" s="419"/>
      <c r="E110" s="419"/>
      <c r="F110" s="419"/>
      <c r="G110" s="420"/>
      <c r="H110" s="53"/>
      <c r="I110" s="53"/>
      <c r="J110" s="53"/>
      <c r="K110" s="53"/>
      <c r="L110" s="53"/>
      <c r="M110" s="53"/>
      <c r="N110" s="53"/>
    </row>
    <row r="111" spans="1:14" x14ac:dyDescent="0.4">
      <c r="A111" s="2"/>
      <c r="B111" s="363"/>
      <c r="C111" s="368"/>
      <c r="D111" s="368"/>
      <c r="E111" s="368"/>
      <c r="F111" s="368"/>
      <c r="G111" s="369"/>
      <c r="H111" s="53"/>
      <c r="I111" s="53"/>
      <c r="J111" s="53"/>
      <c r="K111" s="53"/>
      <c r="L111" s="53"/>
      <c r="M111" s="53"/>
      <c r="N111" s="53"/>
    </row>
    <row r="112" spans="1:14" x14ac:dyDescent="0.4">
      <c r="C112" s="407"/>
      <c r="D112" s="407"/>
      <c r="E112" s="407"/>
      <c r="F112" s="407"/>
      <c r="G112" s="407"/>
      <c r="H112" s="53"/>
      <c r="I112" s="53"/>
    </row>
    <row r="113" spans="1:8" x14ac:dyDescent="0.4">
      <c r="A113" s="9">
        <v>14</v>
      </c>
      <c r="B113" s="61" t="s">
        <v>78</v>
      </c>
      <c r="C113" s="356" t="s">
        <v>41</v>
      </c>
      <c r="D113" s="357"/>
      <c r="E113" s="357"/>
      <c r="F113" s="357"/>
      <c r="G113" s="408"/>
    </row>
    <row r="114" spans="1:8" x14ac:dyDescent="0.4">
      <c r="A114" s="23"/>
      <c r="C114" s="69"/>
      <c r="D114" s="69"/>
      <c r="E114" s="69"/>
      <c r="F114" s="69"/>
      <c r="G114" s="69"/>
    </row>
    <row r="115" spans="1:8" ht="12.7" customHeight="1" x14ac:dyDescent="0.4">
      <c r="B115" s="409" t="s">
        <v>513</v>
      </c>
      <c r="C115" s="410"/>
      <c r="D115" s="410"/>
      <c r="E115" s="410"/>
      <c r="F115" s="410"/>
      <c r="G115" s="410"/>
      <c r="H115" s="410"/>
    </row>
  </sheetData>
  <sheetProtection password="EB7F" sheet="1" objects="1" scenarios="1"/>
  <mergeCells count="58">
    <mergeCell ref="B115:H115"/>
    <mergeCell ref="B108:G108"/>
    <mergeCell ref="B109:G109"/>
    <mergeCell ref="B110:G110"/>
    <mergeCell ref="B111:G111"/>
    <mergeCell ref="C112:G112"/>
    <mergeCell ref="C113:G113"/>
    <mergeCell ref="B74:N74"/>
    <mergeCell ref="B75:N75"/>
    <mergeCell ref="B77:G77"/>
    <mergeCell ref="B80:B86"/>
    <mergeCell ref="B87:B93"/>
    <mergeCell ref="B94:B100"/>
    <mergeCell ref="B101:B107"/>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11"/>
  <sheetViews>
    <sheetView topLeftCell="A85" workbookViewId="0">
      <selection activeCell="F18" sqref="F18"/>
    </sheetView>
  </sheetViews>
  <sheetFormatPr defaultColWidth="8.84375" defaultRowHeight="13.25" x14ac:dyDescent="0.4"/>
  <cols>
    <col min="1" max="1" width="8.84375" style="8"/>
    <col min="2" max="2" width="40.84375" style="8" customWidth="1"/>
    <col min="3" max="3" width="33.4609375" style="8" customWidth="1"/>
    <col min="4" max="4" width="18.4609375" style="23" customWidth="1"/>
    <col min="5" max="5" width="22.69140625" style="8" customWidth="1"/>
    <col min="6" max="6" width="16.69140625" style="8" bestFit="1" customWidth="1"/>
    <col min="7" max="7" width="17.4609375" style="8" bestFit="1" customWidth="1"/>
    <col min="8" max="16384" width="8.84375" style="8"/>
  </cols>
  <sheetData>
    <row r="1" spans="1:5" ht="14.35" customHeight="1" x14ac:dyDescent="0.4">
      <c r="A1" s="355" t="s">
        <v>0</v>
      </c>
      <c r="B1" s="355"/>
      <c r="D1" s="2"/>
    </row>
    <row r="3" spans="1:5" ht="19.25" customHeight="1" x14ac:dyDescent="0.4">
      <c r="A3" s="2" t="s">
        <v>1</v>
      </c>
      <c r="B3" s="3" t="s">
        <v>2</v>
      </c>
      <c r="C3" s="4" t="s">
        <v>514</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515</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516</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482</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5"/>
      <c r="E24" s="13"/>
      <c r="F24" s="15"/>
      <c r="G24" s="13"/>
      <c r="H24" s="13"/>
      <c r="I24" s="13"/>
      <c r="J24" s="13"/>
      <c r="K24" s="13"/>
      <c r="L24" s="13"/>
      <c r="M24" s="13"/>
      <c r="N24" s="13"/>
    </row>
    <row r="25" spans="1:14" x14ac:dyDescent="0.4">
      <c r="A25" s="9"/>
      <c r="B25" s="15"/>
      <c r="C25" s="15"/>
      <c r="D25" s="9"/>
      <c r="E25" s="15"/>
      <c r="F25" s="15"/>
      <c r="G25" s="13"/>
      <c r="H25" s="13"/>
      <c r="I25" s="13"/>
      <c r="J25" s="13"/>
      <c r="K25" s="13"/>
      <c r="L25" s="13"/>
      <c r="M25" s="13"/>
      <c r="N25" s="13"/>
    </row>
    <row r="26" spans="1:14" ht="28.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x14ac:dyDescent="0.4">
      <c r="A29" s="9"/>
      <c r="B29" s="19" t="s">
        <v>24</v>
      </c>
      <c r="C29" s="20">
        <v>23972.43</v>
      </c>
      <c r="D29" s="20">
        <v>24399.07</v>
      </c>
      <c r="E29" s="20">
        <v>29793.41</v>
      </c>
      <c r="F29" s="15"/>
    </row>
    <row r="30" spans="1:14" x14ac:dyDescent="0.4">
      <c r="A30" s="9"/>
      <c r="B30" s="19" t="s">
        <v>25</v>
      </c>
      <c r="C30" s="20">
        <v>2035.39</v>
      </c>
      <c r="D30" s="20">
        <v>2413.38</v>
      </c>
      <c r="E30" s="20">
        <v>2785.96</v>
      </c>
      <c r="F30" s="15"/>
    </row>
    <row r="31" spans="1:14" x14ac:dyDescent="0.4">
      <c r="A31" s="9"/>
      <c r="B31" s="19" t="s">
        <v>26</v>
      </c>
      <c r="C31" s="20">
        <v>2399.06</v>
      </c>
      <c r="D31" s="20">
        <v>2399.06</v>
      </c>
      <c r="E31" s="20">
        <v>2399.06</v>
      </c>
      <c r="F31" s="15" t="s">
        <v>693</v>
      </c>
    </row>
    <row r="32" spans="1:14" x14ac:dyDescent="0.4">
      <c r="A32" s="9"/>
      <c r="B32" s="19" t="s">
        <v>27</v>
      </c>
      <c r="C32" s="20">
        <v>5074.29</v>
      </c>
      <c r="D32" s="20">
        <v>7198.45</v>
      </c>
      <c r="E32" s="20">
        <v>9405.9500000000007</v>
      </c>
      <c r="F32" s="15"/>
    </row>
    <row r="33" spans="1:10" x14ac:dyDescent="0.4">
      <c r="A33" s="9"/>
      <c r="B33" s="363" t="s">
        <v>228</v>
      </c>
      <c r="C33" s="368"/>
      <c r="D33" s="368"/>
      <c r="E33" s="369"/>
      <c r="F33" s="15"/>
    </row>
    <row r="34" spans="1:10" x14ac:dyDescent="0.4">
      <c r="A34" s="9"/>
      <c r="B34" s="13"/>
      <c r="C34" s="15"/>
      <c r="D34" s="9"/>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5"/>
      <c r="E36" s="13"/>
      <c r="F36" s="13"/>
    </row>
    <row r="37" spans="1:10" x14ac:dyDescent="0.4">
      <c r="A37" s="9"/>
      <c r="B37" s="17" t="s">
        <v>31</v>
      </c>
      <c r="C37" s="20" t="s">
        <v>183</v>
      </c>
      <c r="D37" s="5"/>
      <c r="E37" s="13"/>
      <c r="F37" s="13"/>
    </row>
    <row r="38" spans="1:10" x14ac:dyDescent="0.4">
      <c r="A38" s="9"/>
      <c r="B38" s="22" t="s">
        <v>32</v>
      </c>
      <c r="C38" s="155" t="s">
        <v>808</v>
      </c>
      <c r="D38" s="5"/>
      <c r="E38" s="13"/>
      <c r="F38" s="13"/>
    </row>
    <row r="39" spans="1:10" x14ac:dyDescent="0.4">
      <c r="A39" s="9"/>
      <c r="B39" s="359" t="s">
        <v>94</v>
      </c>
      <c r="C39" s="359"/>
      <c r="D39" s="5"/>
      <c r="E39" s="13"/>
      <c r="F39" s="13"/>
    </row>
    <row r="40" spans="1:10" x14ac:dyDescent="0.4">
      <c r="A40" s="9"/>
      <c r="C40" s="13"/>
      <c r="D40" s="5"/>
      <c r="E40" s="13"/>
      <c r="F40" s="13"/>
    </row>
    <row r="41" spans="1:10" x14ac:dyDescent="0.4">
      <c r="A41" s="9"/>
      <c r="B41" s="15"/>
      <c r="C41" s="13"/>
      <c r="D41" s="5"/>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13</v>
      </c>
      <c r="D44" s="374"/>
      <c r="E44" s="375"/>
      <c r="F44" s="13"/>
    </row>
    <row r="45" spans="1:10" ht="57" customHeight="1" x14ac:dyDescent="0.4">
      <c r="A45" s="9"/>
      <c r="B45" s="17" t="s">
        <v>32</v>
      </c>
      <c r="C45" s="373" t="s">
        <v>809</v>
      </c>
      <c r="D45" s="374"/>
      <c r="E45" s="375"/>
      <c r="F45" s="13"/>
    </row>
    <row r="46" spans="1:10" x14ac:dyDescent="0.4">
      <c r="A46" s="9"/>
      <c r="B46" s="363" t="s">
        <v>35</v>
      </c>
      <c r="C46" s="368"/>
      <c r="D46" s="368"/>
      <c r="E46" s="369"/>
      <c r="F46" s="13"/>
    </row>
    <row r="47" spans="1:10" x14ac:dyDescent="0.4">
      <c r="A47" s="2"/>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83.3" customHeight="1" x14ac:dyDescent="0.4">
      <c r="A50" s="29"/>
      <c r="B50" s="78" t="s">
        <v>307</v>
      </c>
      <c r="C50" s="78" t="s">
        <v>517</v>
      </c>
      <c r="D50" s="78" t="s">
        <v>517</v>
      </c>
      <c r="E50" s="78" t="s">
        <v>83</v>
      </c>
    </row>
    <row r="51" spans="1:14" x14ac:dyDescent="0.4">
      <c r="A51" s="31"/>
      <c r="B51" s="380" t="s">
        <v>518</v>
      </c>
      <c r="C51" s="381"/>
      <c r="D51" s="381"/>
      <c r="E51" s="382"/>
      <c r="F51" s="15"/>
      <c r="G51" s="15"/>
      <c r="H51" s="15"/>
    </row>
    <row r="52" spans="1:14" x14ac:dyDescent="0.4">
      <c r="A52" s="32"/>
      <c r="B52" s="62"/>
      <c r="C52" s="23"/>
      <c r="E52" s="23"/>
      <c r="F52" s="15"/>
      <c r="G52" s="15"/>
      <c r="H52" s="15"/>
      <c r="I52" s="15"/>
    </row>
    <row r="53" spans="1:14" x14ac:dyDescent="0.4">
      <c r="A53" s="24">
        <v>10</v>
      </c>
      <c r="B53" s="376" t="s">
        <v>36</v>
      </c>
      <c r="C53" s="365"/>
      <c r="D53" s="365"/>
      <c r="E53" s="365"/>
      <c r="F53" s="15"/>
      <c r="G53" s="15"/>
      <c r="H53" s="15"/>
    </row>
    <row r="54" spans="1:14" x14ac:dyDescent="0.4">
      <c r="A54" s="29"/>
      <c r="B54" s="452" t="s">
        <v>43</v>
      </c>
      <c r="C54" s="385" t="s">
        <v>519</v>
      </c>
      <c r="D54" s="386"/>
      <c r="E54" s="387"/>
      <c r="K54" s="1"/>
    </row>
    <row r="55" spans="1:14" ht="27.05" customHeight="1" x14ac:dyDescent="0.4">
      <c r="A55" s="29"/>
      <c r="B55" s="453"/>
      <c r="C55" s="388"/>
      <c r="D55" s="389"/>
      <c r="E55" s="390"/>
      <c r="K55" s="1"/>
    </row>
    <row r="56" spans="1:14" ht="39" customHeight="1" x14ac:dyDescent="0.4">
      <c r="A56" s="24"/>
      <c r="B56" s="33" t="s">
        <v>44</v>
      </c>
      <c r="C56" s="391" t="s">
        <v>519</v>
      </c>
      <c r="D56" s="391"/>
      <c r="E56" s="391"/>
    </row>
    <row r="57" spans="1:14" x14ac:dyDescent="0.4">
      <c r="A57" s="29"/>
      <c r="B57" s="33" t="s">
        <v>45</v>
      </c>
      <c r="C57" s="391" t="s">
        <v>46</v>
      </c>
      <c r="D57" s="391"/>
      <c r="E57" s="391"/>
      <c r="K57" s="34"/>
    </row>
    <row r="58" spans="1:14" x14ac:dyDescent="0.4">
      <c r="A58" s="29"/>
      <c r="B58" s="380" t="s">
        <v>518</v>
      </c>
      <c r="C58" s="381"/>
      <c r="D58" s="381"/>
      <c r="E58" s="382"/>
      <c r="K58" s="34"/>
    </row>
    <row r="59" spans="1:14" s="63" customFormat="1" x14ac:dyDescent="0.35">
      <c r="A59" s="35" t="s">
        <v>47</v>
      </c>
      <c r="B59" s="392" t="s">
        <v>48</v>
      </c>
      <c r="C59" s="392"/>
      <c r="D59" s="392"/>
      <c r="E59" s="392"/>
    </row>
    <row r="60" spans="1:14" x14ac:dyDescent="0.4">
      <c r="A60" s="40"/>
      <c r="B60" s="41"/>
      <c r="C60" s="42"/>
      <c r="D60" s="99"/>
      <c r="E60" s="42"/>
      <c r="F60" s="42"/>
    </row>
    <row r="61" spans="1:14" x14ac:dyDescent="0.4">
      <c r="A61" s="9">
        <v>11</v>
      </c>
      <c r="B61" s="3" t="s">
        <v>49</v>
      </c>
      <c r="C61" s="393" t="s">
        <v>50</v>
      </c>
      <c r="D61" s="393"/>
      <c r="E61" s="393"/>
      <c r="F61" s="11"/>
      <c r="G61" s="11"/>
      <c r="H61" s="43"/>
      <c r="I61" s="11"/>
      <c r="J61" s="11"/>
    </row>
    <row r="62" spans="1:14" x14ac:dyDescent="0.4">
      <c r="A62" s="9"/>
      <c r="B62" s="15"/>
      <c r="C62" s="15"/>
      <c r="D62" s="9"/>
      <c r="E62" s="15"/>
      <c r="F62" s="15"/>
      <c r="G62" s="15"/>
      <c r="H62" s="44"/>
      <c r="I62" s="44"/>
      <c r="J62" s="15"/>
    </row>
    <row r="63" spans="1:14" x14ac:dyDescent="0.4">
      <c r="A63" s="9">
        <v>12</v>
      </c>
      <c r="B63" s="11" t="s">
        <v>51</v>
      </c>
      <c r="C63" s="11"/>
      <c r="D63" s="9"/>
      <c r="E63" s="11"/>
      <c r="F63" s="11"/>
      <c r="G63" s="11"/>
      <c r="H63" s="11"/>
      <c r="I63" s="11"/>
      <c r="J63" s="11"/>
      <c r="K63" s="11"/>
      <c r="L63" s="11"/>
      <c r="M63" s="11"/>
      <c r="N63" s="11"/>
    </row>
    <row r="64" spans="1:14" x14ac:dyDescent="0.4">
      <c r="A64" s="9"/>
      <c r="B64" s="11"/>
      <c r="C64" s="11"/>
      <c r="D64" s="9"/>
      <c r="E64" s="11"/>
      <c r="F64" s="11"/>
      <c r="G64" s="11"/>
      <c r="H64" s="11"/>
      <c r="I64" s="11"/>
      <c r="J64" s="11"/>
      <c r="K64" s="11"/>
      <c r="L64" s="11"/>
      <c r="M64" s="11"/>
      <c r="N64" s="11"/>
    </row>
    <row r="65" spans="1:14" x14ac:dyDescent="0.4">
      <c r="A65" s="9"/>
      <c r="B65" s="17" t="s">
        <v>52</v>
      </c>
      <c r="C65" s="19" t="s">
        <v>520</v>
      </c>
      <c r="D65" s="9"/>
      <c r="E65" s="44"/>
      <c r="F65" s="44"/>
      <c r="G65" s="44"/>
      <c r="H65" s="15"/>
      <c r="I65" s="15"/>
      <c r="J65" s="15"/>
      <c r="K65" s="15"/>
      <c r="L65" s="15"/>
      <c r="M65" s="15"/>
      <c r="N65" s="15"/>
    </row>
    <row r="66" spans="1:14" x14ac:dyDescent="0.4">
      <c r="A66" s="9"/>
      <c r="B66" s="15"/>
      <c r="C66" s="15"/>
      <c r="D66" s="9"/>
      <c r="E66" s="15"/>
      <c r="F66" s="15"/>
      <c r="G66" s="15"/>
      <c r="H66" s="15"/>
      <c r="I66" s="15"/>
      <c r="J66" s="15"/>
      <c r="K66" s="15"/>
      <c r="L66" s="15"/>
      <c r="M66" s="15"/>
      <c r="N66" s="15"/>
    </row>
    <row r="67" spans="1:14" x14ac:dyDescent="0.4">
      <c r="A67" s="9"/>
      <c r="B67" s="365" t="s">
        <v>53</v>
      </c>
      <c r="C67" s="366" t="s">
        <v>521</v>
      </c>
      <c r="D67" s="403" t="s">
        <v>271</v>
      </c>
      <c r="E67" s="403" t="s">
        <v>232</v>
      </c>
      <c r="F67" s="395" t="s">
        <v>54</v>
      </c>
      <c r="G67" s="396"/>
      <c r="H67" s="397"/>
      <c r="I67" s="398" t="s">
        <v>55</v>
      </c>
      <c r="J67" s="398"/>
      <c r="K67" s="398"/>
      <c r="L67" s="398" t="s">
        <v>56</v>
      </c>
      <c r="M67" s="398"/>
      <c r="N67" s="398"/>
    </row>
    <row r="68" spans="1:14" ht="38.450000000000003" x14ac:dyDescent="0.4">
      <c r="A68" s="2"/>
      <c r="B68" s="365"/>
      <c r="C68" s="402"/>
      <c r="D68" s="404"/>
      <c r="E68" s="404"/>
      <c r="F68" s="17" t="s">
        <v>57</v>
      </c>
      <c r="G68" s="17" t="s">
        <v>58</v>
      </c>
      <c r="H68" s="17" t="s">
        <v>59</v>
      </c>
      <c r="I68" s="17" t="s">
        <v>60</v>
      </c>
      <c r="J68" s="17" t="s">
        <v>58</v>
      </c>
      <c r="K68" s="17" t="s">
        <v>59</v>
      </c>
      <c r="L68" s="17" t="s">
        <v>60</v>
      </c>
      <c r="M68" s="17" t="s">
        <v>58</v>
      </c>
      <c r="N68" s="17" t="s">
        <v>59</v>
      </c>
    </row>
    <row r="69" spans="1:14" x14ac:dyDescent="0.4">
      <c r="A69" s="2"/>
      <c r="B69" s="17" t="s">
        <v>103</v>
      </c>
      <c r="C69" s="45">
        <v>54</v>
      </c>
      <c r="D69" s="100">
        <v>136</v>
      </c>
      <c r="E69" s="46">
        <v>170.4</v>
      </c>
      <c r="F69" s="46">
        <v>129</v>
      </c>
      <c r="G69" s="46">
        <v>174.2</v>
      </c>
      <c r="H69" s="45">
        <v>54</v>
      </c>
      <c r="I69" s="45">
        <v>56.75</v>
      </c>
      <c r="J69" s="45">
        <v>139</v>
      </c>
      <c r="K69" s="45">
        <v>47.1</v>
      </c>
      <c r="L69" s="45">
        <v>34.5</v>
      </c>
      <c r="M69" s="45">
        <v>68</v>
      </c>
      <c r="N69" s="45">
        <v>26.2</v>
      </c>
    </row>
    <row r="70" spans="1:14" ht="25.65" x14ac:dyDescent="0.4">
      <c r="A70" s="2"/>
      <c r="B70" s="17" t="s">
        <v>104</v>
      </c>
      <c r="C70" s="45">
        <v>9988.75</v>
      </c>
      <c r="D70" s="101">
        <v>10303.15</v>
      </c>
      <c r="E70" s="45">
        <v>10623.6</v>
      </c>
      <c r="F70" s="46">
        <v>10113.700000000001</v>
      </c>
      <c r="G70" s="46">
        <v>11171.55</v>
      </c>
      <c r="H70" s="115">
        <v>9075.15</v>
      </c>
      <c r="I70" s="45">
        <v>11623.9</v>
      </c>
      <c r="J70" s="45">
        <v>11760.2</v>
      </c>
      <c r="K70" s="45">
        <v>10004.549999999999</v>
      </c>
      <c r="L70" s="45">
        <v>8597.75</v>
      </c>
      <c r="M70" s="45">
        <v>12430.5</v>
      </c>
      <c r="N70" s="45">
        <v>7511.1</v>
      </c>
    </row>
    <row r="71" spans="1:14" x14ac:dyDescent="0.4">
      <c r="A71" s="2"/>
      <c r="B71" s="401" t="s">
        <v>94</v>
      </c>
      <c r="C71" s="401"/>
      <c r="D71" s="401"/>
      <c r="E71" s="401"/>
      <c r="F71" s="401"/>
      <c r="G71" s="401"/>
      <c r="H71" s="401"/>
      <c r="I71" s="401"/>
      <c r="J71" s="401"/>
      <c r="K71" s="401"/>
      <c r="L71" s="401"/>
      <c r="M71" s="401"/>
      <c r="N71" s="401"/>
    </row>
    <row r="72" spans="1:14" x14ac:dyDescent="0.4">
      <c r="A72" s="2"/>
      <c r="B72" s="359" t="s">
        <v>63</v>
      </c>
      <c r="C72" s="359"/>
      <c r="D72" s="359"/>
      <c r="E72" s="359"/>
      <c r="F72" s="359"/>
      <c r="G72" s="359"/>
      <c r="H72" s="359"/>
      <c r="I72" s="359"/>
      <c r="J72" s="359"/>
      <c r="K72" s="359"/>
      <c r="L72" s="359"/>
      <c r="M72" s="359"/>
      <c r="N72" s="359"/>
    </row>
    <row r="73" spans="1:14" s="1" customFormat="1" x14ac:dyDescent="0.4">
      <c r="B73" s="359" t="s">
        <v>64</v>
      </c>
      <c r="C73" s="359"/>
      <c r="D73" s="359"/>
      <c r="E73" s="359"/>
      <c r="F73" s="359"/>
      <c r="G73" s="359"/>
      <c r="H73" s="359"/>
      <c r="I73" s="359"/>
      <c r="J73" s="359"/>
      <c r="K73" s="359"/>
      <c r="L73" s="359"/>
      <c r="M73" s="359"/>
      <c r="N73" s="359"/>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102"/>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9"/>
      <c r="E78" s="15"/>
      <c r="F78" s="15"/>
      <c r="G78" s="15"/>
      <c r="H78" s="15"/>
      <c r="I78" s="15"/>
      <c r="J78" s="15"/>
      <c r="K78" s="15"/>
      <c r="L78" s="15"/>
      <c r="M78" s="15"/>
      <c r="N78" s="15"/>
    </row>
    <row r="79" spans="1:14" ht="82.5" customHeight="1" x14ac:dyDescent="0.4">
      <c r="A79" s="2"/>
      <c r="B79" s="50" t="s">
        <v>67</v>
      </c>
      <c r="C79" s="18" t="s">
        <v>68</v>
      </c>
      <c r="D79" s="18" t="s">
        <v>69</v>
      </c>
      <c r="E79" s="18" t="s">
        <v>218</v>
      </c>
      <c r="F79" s="18" t="s">
        <v>71</v>
      </c>
      <c r="G79" s="18" t="s">
        <v>107</v>
      </c>
      <c r="H79" s="13"/>
      <c r="I79" s="13"/>
      <c r="J79" s="13"/>
      <c r="K79" s="13"/>
      <c r="L79" s="13"/>
      <c r="M79" s="13"/>
      <c r="N79" s="13"/>
    </row>
    <row r="80" spans="1:14" x14ac:dyDescent="0.4">
      <c r="A80" s="2"/>
      <c r="B80" s="394" t="s">
        <v>72</v>
      </c>
      <c r="C80" s="3" t="s">
        <v>522</v>
      </c>
      <c r="D80" s="54">
        <v>6.8</v>
      </c>
      <c r="E80" s="52">
        <v>9.4</v>
      </c>
      <c r="F80" s="20">
        <v>10.06</v>
      </c>
      <c r="G80" s="52"/>
      <c r="H80" s="53"/>
      <c r="I80" s="53"/>
      <c r="J80" s="53"/>
      <c r="K80" s="53"/>
      <c r="L80" s="53"/>
      <c r="M80" s="53"/>
      <c r="N80" s="53"/>
    </row>
    <row r="81" spans="1:14" x14ac:dyDescent="0.4">
      <c r="A81" s="2"/>
      <c r="B81" s="394"/>
      <c r="C81" s="3" t="s">
        <v>73</v>
      </c>
      <c r="D81" s="54"/>
      <c r="E81" s="52"/>
      <c r="F81" s="20"/>
      <c r="G81" s="52"/>
      <c r="H81" s="53"/>
      <c r="I81" s="53"/>
      <c r="J81" s="53"/>
      <c r="K81" s="53"/>
      <c r="L81" s="53"/>
      <c r="M81" s="53"/>
      <c r="N81" s="53"/>
    </row>
    <row r="82" spans="1:14" x14ac:dyDescent="0.4">
      <c r="A82" s="2"/>
      <c r="B82" s="394"/>
      <c r="C82" s="21" t="s">
        <v>523</v>
      </c>
      <c r="D82" s="54">
        <v>1.41</v>
      </c>
      <c r="E82" s="52">
        <v>0.56999999999999995</v>
      </c>
      <c r="F82" s="20">
        <v>0.56000000000000005</v>
      </c>
      <c r="G82" s="52">
        <v>0.41</v>
      </c>
      <c r="H82" s="53"/>
      <c r="I82" s="53"/>
      <c r="J82" s="53"/>
      <c r="K82" s="53"/>
      <c r="L82" s="53"/>
      <c r="M82" s="53"/>
      <c r="N82" s="53"/>
    </row>
    <row r="83" spans="1:14" x14ac:dyDescent="0.4">
      <c r="A83" s="2"/>
      <c r="B83" s="394"/>
      <c r="C83" s="21" t="s">
        <v>524</v>
      </c>
      <c r="D83" s="54">
        <v>10.06</v>
      </c>
      <c r="E83" s="52">
        <v>5.97</v>
      </c>
      <c r="F83" s="20">
        <v>10.77</v>
      </c>
      <c r="G83" s="52">
        <v>8.0399999999999991</v>
      </c>
      <c r="H83" s="53"/>
      <c r="I83" s="53"/>
      <c r="J83" s="53"/>
      <c r="K83" s="53"/>
      <c r="L83" s="53"/>
      <c r="M83" s="53"/>
      <c r="N83" s="53"/>
    </row>
    <row r="84" spans="1:14" x14ac:dyDescent="0.4">
      <c r="A84" s="2"/>
      <c r="B84" s="394"/>
      <c r="C84" s="21" t="s">
        <v>525</v>
      </c>
      <c r="D84" s="54">
        <v>0.59</v>
      </c>
      <c r="E84" s="67" t="s">
        <v>84</v>
      </c>
      <c r="F84" s="20"/>
      <c r="G84" s="52" t="s">
        <v>805</v>
      </c>
      <c r="H84" s="53"/>
      <c r="I84" s="53"/>
      <c r="J84" s="53"/>
      <c r="K84" s="53"/>
      <c r="L84" s="53"/>
      <c r="M84" s="53"/>
      <c r="N84" s="53"/>
    </row>
    <row r="85" spans="1:14" x14ac:dyDescent="0.4">
      <c r="A85" s="2"/>
      <c r="B85" s="394"/>
      <c r="C85" s="3" t="s">
        <v>74</v>
      </c>
      <c r="D85" s="76"/>
      <c r="E85" s="52"/>
      <c r="F85" s="20"/>
      <c r="G85" s="52"/>
      <c r="H85" s="53"/>
      <c r="I85" s="53"/>
      <c r="J85" s="53"/>
      <c r="K85" s="53"/>
      <c r="L85" s="53"/>
      <c r="M85" s="53"/>
      <c r="N85" s="53"/>
    </row>
    <row r="86" spans="1:14" x14ac:dyDescent="0.35">
      <c r="A86" s="2"/>
      <c r="B86" s="394" t="s">
        <v>75</v>
      </c>
      <c r="C86" s="3" t="s">
        <v>522</v>
      </c>
      <c r="D86" s="77">
        <v>6.62</v>
      </c>
      <c r="E86" s="55">
        <f>F69/E80</f>
        <v>13.723404255319148</v>
      </c>
      <c r="F86" s="101">
        <f>I69/F80</f>
        <v>5.6411530815109341</v>
      </c>
      <c r="G86" s="52"/>
      <c r="H86" s="53"/>
      <c r="I86" s="53"/>
      <c r="J86" s="53"/>
      <c r="K86" s="53"/>
      <c r="L86" s="53"/>
      <c r="M86" s="53"/>
      <c r="N86" s="53"/>
    </row>
    <row r="87" spans="1:14" x14ac:dyDescent="0.4">
      <c r="A87" s="2"/>
      <c r="B87" s="394"/>
      <c r="C87" s="3" t="s">
        <v>73</v>
      </c>
      <c r="D87" s="54"/>
      <c r="E87" s="52"/>
      <c r="F87" s="20"/>
      <c r="G87" s="52"/>
      <c r="H87" s="53"/>
      <c r="I87" s="53" t="s">
        <v>693</v>
      </c>
      <c r="J87" s="53"/>
      <c r="K87" s="53"/>
      <c r="L87" s="53"/>
      <c r="M87" s="53"/>
      <c r="N87" s="53"/>
    </row>
    <row r="88" spans="1:14" x14ac:dyDescent="0.4">
      <c r="A88" s="2"/>
      <c r="B88" s="394"/>
      <c r="C88" s="21" t="s">
        <v>523</v>
      </c>
      <c r="D88" s="54">
        <v>29.86</v>
      </c>
      <c r="E88" s="55">
        <f>19.5/E82</f>
        <v>34.21052631578948</v>
      </c>
      <c r="F88" s="144">
        <f>8.07/F82</f>
        <v>14.410714285714285</v>
      </c>
      <c r="G88" s="52">
        <v>5.99</v>
      </c>
      <c r="H88" s="53"/>
      <c r="I88" s="53"/>
      <c r="J88" s="53"/>
      <c r="K88" s="53"/>
      <c r="L88" s="53"/>
      <c r="M88" s="53"/>
      <c r="N88" s="53"/>
    </row>
    <row r="89" spans="1:14" x14ac:dyDescent="0.4">
      <c r="A89" s="2"/>
      <c r="B89" s="394"/>
      <c r="C89" s="21" t="s">
        <v>524</v>
      </c>
      <c r="D89" s="54">
        <v>27.79</v>
      </c>
      <c r="E89" s="55">
        <f>268.45/E83</f>
        <v>44.96649916247906</v>
      </c>
      <c r="F89" s="101">
        <f>113.85/F83</f>
        <v>10.571030640668523</v>
      </c>
      <c r="G89" s="52">
        <v>3.8</v>
      </c>
      <c r="H89" s="53"/>
      <c r="I89" s="53"/>
      <c r="J89" s="53"/>
      <c r="K89" s="53"/>
      <c r="L89" s="53"/>
      <c r="M89" s="53"/>
      <c r="N89" s="53"/>
    </row>
    <row r="90" spans="1:14" x14ac:dyDescent="0.4">
      <c r="A90" s="2"/>
      <c r="B90" s="394"/>
      <c r="C90" s="21" t="s">
        <v>525</v>
      </c>
      <c r="D90" s="54">
        <v>32.200000000000003</v>
      </c>
      <c r="E90" s="67" t="s">
        <v>84</v>
      </c>
      <c r="F90" s="20" t="e">
        <f>13.2/F84</f>
        <v>#DIV/0!</v>
      </c>
      <c r="G90" s="52" t="s">
        <v>805</v>
      </c>
      <c r="H90" s="53" t="s">
        <v>693</v>
      </c>
      <c r="I90" s="53"/>
      <c r="J90" s="53"/>
      <c r="K90" s="53"/>
      <c r="L90" s="53"/>
      <c r="M90" s="53"/>
      <c r="N90" s="53"/>
    </row>
    <row r="91" spans="1:14" x14ac:dyDescent="0.4">
      <c r="A91" s="2"/>
      <c r="B91" s="394"/>
      <c r="C91" s="3" t="s">
        <v>74</v>
      </c>
      <c r="D91" s="54"/>
      <c r="E91" s="52"/>
      <c r="F91" s="20"/>
      <c r="G91" s="52"/>
      <c r="H91" s="53"/>
      <c r="I91" s="53"/>
      <c r="J91" s="53"/>
      <c r="K91" s="53"/>
      <c r="L91" s="53"/>
      <c r="M91" s="53"/>
      <c r="N91" s="53"/>
    </row>
    <row r="92" spans="1:14" x14ac:dyDescent="0.35">
      <c r="A92" s="2"/>
      <c r="B92" s="394" t="s">
        <v>76</v>
      </c>
      <c r="C92" s="3" t="s">
        <v>522</v>
      </c>
      <c r="D92" s="97">
        <v>0.33589999999999998</v>
      </c>
      <c r="E92" s="56">
        <f>203539952/747335551</f>
        <v>0.272354167719769</v>
      </c>
      <c r="F92" s="101">
        <f>241337643/959751257*100</f>
        <v>25.145853286441699</v>
      </c>
      <c r="G92" s="52"/>
      <c r="H92" s="53"/>
      <c r="I92" s="53"/>
      <c r="J92" s="53"/>
      <c r="K92" s="53"/>
      <c r="L92" s="53"/>
      <c r="M92" s="53"/>
      <c r="N92" s="53"/>
    </row>
    <row r="93" spans="1:14" x14ac:dyDescent="0.4">
      <c r="A93" s="2"/>
      <c r="B93" s="394"/>
      <c r="C93" s="3" t="s">
        <v>73</v>
      </c>
      <c r="D93" s="54"/>
      <c r="E93" s="52"/>
      <c r="F93" s="20"/>
      <c r="G93" s="52"/>
      <c r="H93" s="53"/>
      <c r="I93" s="53"/>
      <c r="J93" s="53"/>
      <c r="K93" s="53"/>
      <c r="L93" s="53"/>
      <c r="M93" s="53"/>
      <c r="N93" s="53"/>
    </row>
    <row r="94" spans="1:14" x14ac:dyDescent="0.4">
      <c r="A94" s="2"/>
      <c r="B94" s="394"/>
      <c r="C94" s="21" t="s">
        <v>523</v>
      </c>
      <c r="D94" s="54">
        <v>1.5599999999999999E-2</v>
      </c>
      <c r="E94" s="150">
        <f>2253.47/10781.78</f>
        <v>0.20900723257198717</v>
      </c>
      <c r="F94" s="101">
        <f>2217.62/12501.37*100</f>
        <v>17.739015803867893</v>
      </c>
      <c r="G94" s="52">
        <v>13.17</v>
      </c>
      <c r="H94" s="53"/>
      <c r="I94" s="53"/>
      <c r="J94" s="53"/>
      <c r="K94" s="53"/>
      <c r="L94" s="53"/>
      <c r="M94" s="53"/>
      <c r="N94" s="53"/>
    </row>
    <row r="95" spans="1:14" x14ac:dyDescent="0.4">
      <c r="A95" s="2"/>
      <c r="B95" s="394"/>
      <c r="C95" s="21" t="s">
        <v>524</v>
      </c>
      <c r="D95" s="156">
        <v>0.1096</v>
      </c>
      <c r="E95" s="56">
        <f>13.48/187.11</f>
        <v>7.2043183154294269E-2</v>
      </c>
      <c r="F95" s="101">
        <f>24.35/209.16*100</f>
        <v>11.641805316504113</v>
      </c>
      <c r="G95" s="52">
        <v>7.29</v>
      </c>
      <c r="H95" s="53"/>
      <c r="I95" s="53"/>
      <c r="J95" s="53"/>
      <c r="K95" s="53"/>
      <c r="L95" s="53"/>
      <c r="M95" s="53"/>
      <c r="N95" s="53"/>
    </row>
    <row r="96" spans="1:14" x14ac:dyDescent="0.4">
      <c r="A96" s="2"/>
      <c r="B96" s="394"/>
      <c r="C96" s="21" t="s">
        <v>525</v>
      </c>
      <c r="D96" s="156">
        <v>0.1203</v>
      </c>
      <c r="E96" s="67" t="s">
        <v>84</v>
      </c>
      <c r="F96" s="20"/>
      <c r="G96" s="52" t="s">
        <v>805</v>
      </c>
      <c r="H96" s="53" t="s">
        <v>693</v>
      </c>
      <c r="I96" s="53"/>
      <c r="J96" s="53"/>
      <c r="K96" s="53"/>
      <c r="L96" s="53"/>
      <c r="M96" s="53"/>
      <c r="N96" s="53"/>
    </row>
    <row r="97" spans="1:14" x14ac:dyDescent="0.4">
      <c r="A97" s="2"/>
      <c r="B97" s="394"/>
      <c r="C97" s="3" t="s">
        <v>74</v>
      </c>
      <c r="D97" s="76"/>
      <c r="E97" s="52"/>
      <c r="F97" s="20"/>
      <c r="G97" s="52"/>
      <c r="H97" s="53"/>
      <c r="I97" s="53"/>
      <c r="J97" s="53"/>
      <c r="K97" s="57"/>
      <c r="L97" s="53"/>
      <c r="M97" s="53"/>
      <c r="N97" s="53"/>
    </row>
    <row r="98" spans="1:14" x14ac:dyDescent="0.35">
      <c r="A98" s="2"/>
      <c r="B98" s="394" t="s">
        <v>77</v>
      </c>
      <c r="C98" s="3" t="s">
        <v>522</v>
      </c>
      <c r="D98" s="65">
        <v>20.239999999999998</v>
      </c>
      <c r="E98" s="55">
        <f>747335551/23990600</f>
        <v>31.151182171350445</v>
      </c>
      <c r="F98" s="101">
        <f>959751257/23990600</f>
        <v>40.005304452577256</v>
      </c>
      <c r="G98" s="52"/>
      <c r="H98" s="53"/>
      <c r="I98" s="53"/>
      <c r="J98" s="53"/>
      <c r="K98" s="53"/>
      <c r="L98" s="53"/>
      <c r="M98" s="53"/>
      <c r="N98" s="53"/>
    </row>
    <row r="99" spans="1:14" x14ac:dyDescent="0.4">
      <c r="A99" s="2"/>
      <c r="B99" s="394"/>
      <c r="C99" s="3" t="s">
        <v>73</v>
      </c>
      <c r="D99" s="54"/>
      <c r="E99" s="52"/>
      <c r="F99" s="20"/>
      <c r="G99" s="52"/>
      <c r="H99" s="53"/>
      <c r="I99" s="53"/>
      <c r="J99" s="53"/>
      <c r="K99" s="53"/>
      <c r="L99" s="53"/>
      <c r="M99" s="53"/>
      <c r="N99" s="53"/>
    </row>
    <row r="100" spans="1:14" x14ac:dyDescent="0.4">
      <c r="A100" s="2"/>
      <c r="B100" s="411"/>
      <c r="C100" s="21" t="s">
        <v>523</v>
      </c>
      <c r="D100" s="54">
        <v>90.65</v>
      </c>
      <c r="E100" s="55">
        <f>10781.78/3938.89</f>
        <v>2.7372635437902559</v>
      </c>
      <c r="F100" s="101">
        <f>12501.37*100000/39388900</f>
        <v>31.738306984962769</v>
      </c>
      <c r="G100" s="52">
        <v>3.44</v>
      </c>
      <c r="H100" s="53"/>
      <c r="I100" s="53"/>
      <c r="J100" s="53"/>
      <c r="K100" s="53"/>
      <c r="L100" s="53"/>
      <c r="M100" s="53"/>
      <c r="N100" s="53"/>
    </row>
    <row r="101" spans="1:14" x14ac:dyDescent="0.4">
      <c r="A101" s="2"/>
      <c r="B101" s="411"/>
      <c r="C101" s="21" t="s">
        <v>524</v>
      </c>
      <c r="D101" s="54">
        <v>80.2</v>
      </c>
      <c r="E101" s="55">
        <f>187.11/2.26</f>
        <v>82.792035398230098</v>
      </c>
      <c r="F101" s="101">
        <f>209.16*10000000/22600000</f>
        <v>92.548672566371678</v>
      </c>
      <c r="G101" s="52">
        <v>114.76</v>
      </c>
      <c r="H101" s="53"/>
      <c r="I101" s="53"/>
      <c r="J101" s="53"/>
      <c r="K101" s="53"/>
      <c r="L101" s="53"/>
      <c r="M101" s="53"/>
      <c r="N101" s="53"/>
    </row>
    <row r="102" spans="1:14" x14ac:dyDescent="0.4">
      <c r="A102" s="2"/>
      <c r="B102" s="411"/>
      <c r="C102" s="21" t="s">
        <v>525</v>
      </c>
      <c r="D102" s="54">
        <v>5.29</v>
      </c>
      <c r="E102" s="67" t="s">
        <v>84</v>
      </c>
      <c r="F102" s="20"/>
      <c r="G102" s="52" t="s">
        <v>805</v>
      </c>
      <c r="H102" s="53" t="s">
        <v>693</v>
      </c>
      <c r="I102" s="53"/>
      <c r="J102" s="53"/>
      <c r="K102" s="53"/>
      <c r="L102" s="53"/>
      <c r="M102" s="53"/>
      <c r="N102" s="53"/>
    </row>
    <row r="103" spans="1:14" x14ac:dyDescent="0.4">
      <c r="A103" s="2"/>
      <c r="B103" s="411"/>
      <c r="C103" s="3" t="s">
        <v>74</v>
      </c>
      <c r="D103" s="76"/>
      <c r="E103" s="52"/>
      <c r="F103" s="20"/>
      <c r="G103" s="52"/>
      <c r="H103" s="53"/>
      <c r="I103" s="53"/>
      <c r="J103" s="53"/>
      <c r="K103" s="53"/>
      <c r="L103" s="53"/>
      <c r="M103" s="53"/>
      <c r="N103" s="53"/>
    </row>
    <row r="104" spans="1:14" s="1" customFormat="1" x14ac:dyDescent="0.4">
      <c r="B104" s="412"/>
      <c r="C104" s="413"/>
      <c r="D104" s="413"/>
      <c r="E104" s="413"/>
      <c r="F104" s="413"/>
      <c r="G104" s="414"/>
    </row>
    <row r="105" spans="1:14" x14ac:dyDescent="0.4">
      <c r="A105" s="2"/>
      <c r="B105" s="415" t="s">
        <v>526</v>
      </c>
      <c r="C105" s="416"/>
      <c r="D105" s="416"/>
      <c r="E105" s="416"/>
      <c r="F105" s="416"/>
      <c r="G105" s="417"/>
      <c r="H105" s="53"/>
      <c r="I105" s="53"/>
      <c r="J105" s="53"/>
      <c r="K105" s="53"/>
      <c r="L105" s="53"/>
      <c r="M105" s="53"/>
      <c r="N105" s="53"/>
    </row>
    <row r="106" spans="1:14" x14ac:dyDescent="0.4">
      <c r="A106" s="2"/>
      <c r="B106" s="418" t="s">
        <v>85</v>
      </c>
      <c r="C106" s="419"/>
      <c r="D106" s="419"/>
      <c r="E106" s="419"/>
      <c r="F106" s="419"/>
      <c r="G106" s="420"/>
      <c r="H106" s="53"/>
      <c r="I106" s="53"/>
      <c r="J106" s="53"/>
      <c r="K106" s="53"/>
      <c r="L106" s="53"/>
      <c r="M106" s="53"/>
      <c r="N106" s="53"/>
    </row>
    <row r="107" spans="1:14" x14ac:dyDescent="0.4">
      <c r="A107" s="2"/>
      <c r="B107" s="363"/>
      <c r="C107" s="368"/>
      <c r="D107" s="368"/>
      <c r="E107" s="368"/>
      <c r="F107" s="368"/>
      <c r="G107" s="369"/>
      <c r="H107" s="53"/>
      <c r="I107" s="53"/>
      <c r="J107" s="53"/>
      <c r="K107" s="53"/>
      <c r="L107" s="53"/>
      <c r="M107" s="53"/>
      <c r="N107" s="53"/>
    </row>
    <row r="108" spans="1:14" x14ac:dyDescent="0.4">
      <c r="C108" s="407"/>
      <c r="D108" s="407"/>
      <c r="E108" s="407"/>
      <c r="F108" s="407"/>
      <c r="G108" s="407"/>
      <c r="H108" s="53"/>
      <c r="I108" s="53"/>
    </row>
    <row r="109" spans="1:14" x14ac:dyDescent="0.4">
      <c r="A109" s="9">
        <v>14</v>
      </c>
      <c r="B109" s="61" t="s">
        <v>78</v>
      </c>
      <c r="C109" s="356" t="s">
        <v>41</v>
      </c>
      <c r="D109" s="357"/>
      <c r="E109" s="357"/>
      <c r="F109" s="357"/>
      <c r="G109" s="408"/>
    </row>
    <row r="110" spans="1:14" x14ac:dyDescent="0.4">
      <c r="A110" s="23"/>
      <c r="C110" s="69"/>
      <c r="D110" s="104"/>
      <c r="E110" s="69"/>
      <c r="F110" s="69"/>
      <c r="G110" s="69"/>
    </row>
    <row r="111" spans="1:14" x14ac:dyDescent="0.4">
      <c r="B111" s="409" t="s">
        <v>527</v>
      </c>
      <c r="C111" s="410"/>
      <c r="D111" s="410"/>
      <c r="E111" s="410"/>
      <c r="F111" s="410"/>
      <c r="G111" s="410"/>
      <c r="H111" s="410"/>
    </row>
  </sheetData>
  <sheetProtection password="EB7F" sheet="1" objects="1" scenarios="1"/>
  <mergeCells count="58">
    <mergeCell ref="B111:H111"/>
    <mergeCell ref="B104:G104"/>
    <mergeCell ref="B105:G105"/>
    <mergeCell ref="B106:G106"/>
    <mergeCell ref="B107:G107"/>
    <mergeCell ref="C108:G108"/>
    <mergeCell ref="C109:G109"/>
    <mergeCell ref="B74:N74"/>
    <mergeCell ref="B75:N75"/>
    <mergeCell ref="B77:G77"/>
    <mergeCell ref="B80:B85"/>
    <mergeCell ref="B86:B91"/>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111"/>
  <sheetViews>
    <sheetView topLeftCell="A85" workbookViewId="0">
      <selection activeCell="B75" sqref="B75:N75"/>
    </sheetView>
  </sheetViews>
  <sheetFormatPr defaultColWidth="8.84375" defaultRowHeight="13.25" x14ac:dyDescent="0.4"/>
  <cols>
    <col min="1" max="1" width="8.84375" style="8"/>
    <col min="2" max="3" width="40.84375" style="8" customWidth="1"/>
    <col min="4" max="4" width="21.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528</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529</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530</v>
      </c>
      <c r="D14" s="5"/>
    </row>
    <row r="15" spans="1:5" ht="14.35" customHeight="1" x14ac:dyDescent="0.4">
      <c r="A15" s="9"/>
      <c r="B15" s="363" t="s">
        <v>10</v>
      </c>
      <c r="C15" s="364"/>
      <c r="D15" s="5"/>
    </row>
    <row r="16" spans="1:5" x14ac:dyDescent="0.4">
      <c r="A16" s="9"/>
      <c r="D16" s="5"/>
    </row>
    <row r="17" spans="1:14" ht="27.05"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501</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x14ac:dyDescent="0.4">
      <c r="A29" s="9"/>
      <c r="B29" s="19" t="s">
        <v>24</v>
      </c>
      <c r="C29" s="21">
        <v>65974.13</v>
      </c>
      <c r="D29" s="21">
        <v>49318.05</v>
      </c>
      <c r="E29" s="96">
        <v>80861.55</v>
      </c>
      <c r="F29" s="15"/>
    </row>
    <row r="30" spans="1:14" x14ac:dyDescent="0.4">
      <c r="A30" s="9"/>
      <c r="B30" s="19" t="s">
        <v>25</v>
      </c>
      <c r="C30" s="21">
        <v>814.65</v>
      </c>
      <c r="D30" s="21">
        <v>530.1</v>
      </c>
      <c r="E30" s="96">
        <v>1644.73</v>
      </c>
      <c r="F30" s="15"/>
    </row>
    <row r="31" spans="1:14" x14ac:dyDescent="0.4">
      <c r="A31" s="9"/>
      <c r="B31" s="19" t="s">
        <v>26</v>
      </c>
      <c r="C31" s="21">
        <v>2225.4899999999998</v>
      </c>
      <c r="D31" s="21">
        <v>2225.4899999999998</v>
      </c>
      <c r="E31" s="96">
        <v>2225.4899999999998</v>
      </c>
      <c r="F31" s="15" t="s">
        <v>693</v>
      </c>
    </row>
    <row r="32" spans="1:14" x14ac:dyDescent="0.4">
      <c r="A32" s="9"/>
      <c r="B32" s="19" t="s">
        <v>27</v>
      </c>
      <c r="C32" s="21">
        <v>1882.41</v>
      </c>
      <c r="D32" s="21">
        <v>3061.46</v>
      </c>
      <c r="E32" s="96">
        <v>4706.1899999999996</v>
      </c>
      <c r="F32" s="15"/>
    </row>
    <row r="33" spans="1:10" x14ac:dyDescent="0.4">
      <c r="A33" s="9"/>
      <c r="B33" s="363" t="s">
        <v>228</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155" t="s">
        <v>808</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753</v>
      </c>
      <c r="D44" s="374"/>
      <c r="E44" s="375"/>
      <c r="F44" s="13"/>
    </row>
    <row r="45" spans="1:10" x14ac:dyDescent="0.4">
      <c r="A45" s="9"/>
      <c r="B45" s="17" t="s">
        <v>32</v>
      </c>
      <c r="C45" s="373" t="s">
        <v>802</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66.3" x14ac:dyDescent="0.4">
      <c r="A50" s="29"/>
      <c r="B50" s="78" t="s">
        <v>307</v>
      </c>
      <c r="C50" s="78" t="s">
        <v>531</v>
      </c>
      <c r="D50" s="112" t="s">
        <v>671</v>
      </c>
      <c r="E50" s="78" t="s">
        <v>83</v>
      </c>
    </row>
    <row r="51" spans="1:14" x14ac:dyDescent="0.4">
      <c r="A51" s="31"/>
      <c r="B51" s="380" t="s">
        <v>673</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532</v>
      </c>
      <c r="D54" s="386"/>
      <c r="E54" s="387"/>
      <c r="K54" s="1"/>
    </row>
    <row r="55" spans="1:14" x14ac:dyDescent="0.4">
      <c r="A55" s="29"/>
      <c r="B55" s="384"/>
      <c r="C55" s="388"/>
      <c r="D55" s="389"/>
      <c r="E55" s="390"/>
      <c r="K55" s="1"/>
    </row>
    <row r="56" spans="1:14" ht="37.549999999999997" customHeight="1" x14ac:dyDescent="0.4">
      <c r="A56" s="24"/>
      <c r="B56" s="33" t="s">
        <v>44</v>
      </c>
      <c r="C56" s="391" t="s">
        <v>672</v>
      </c>
      <c r="D56" s="391"/>
      <c r="E56" s="391"/>
    </row>
    <row r="57" spans="1:14" x14ac:dyDescent="0.4">
      <c r="A57" s="29"/>
      <c r="B57" s="33" t="s">
        <v>45</v>
      </c>
      <c r="C57" s="391" t="s">
        <v>46</v>
      </c>
      <c r="D57" s="391"/>
      <c r="E57" s="391"/>
      <c r="K57" s="34"/>
    </row>
    <row r="58" spans="1:14" x14ac:dyDescent="0.4">
      <c r="A58" s="29"/>
      <c r="B58" s="380" t="s">
        <v>673</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43"/>
      <c r="G63" s="43"/>
      <c r="H63" s="11"/>
      <c r="I63" s="11"/>
      <c r="J63" s="11"/>
      <c r="K63" s="11"/>
      <c r="L63" s="11"/>
      <c r="M63" s="11"/>
      <c r="N63" s="11"/>
    </row>
    <row r="64" spans="1:14" x14ac:dyDescent="0.4">
      <c r="A64" s="9"/>
      <c r="B64" s="11"/>
      <c r="C64" s="11"/>
      <c r="D64" s="11"/>
      <c r="E64" s="11"/>
      <c r="F64" s="11"/>
      <c r="G64" s="11"/>
      <c r="H64" s="11"/>
      <c r="I64" s="11"/>
      <c r="J64" s="11"/>
      <c r="K64" s="11"/>
      <c r="L64" s="11"/>
      <c r="M64" s="11"/>
      <c r="N64" s="11"/>
    </row>
    <row r="65" spans="1:16" x14ac:dyDescent="0.4">
      <c r="A65" s="9"/>
      <c r="B65" s="17" t="s">
        <v>52</v>
      </c>
      <c r="C65" s="19" t="s">
        <v>533</v>
      </c>
      <c r="D65" s="15"/>
      <c r="E65" s="15"/>
      <c r="F65" s="44"/>
      <c r="G65" s="44"/>
      <c r="H65" s="15"/>
      <c r="I65" s="15"/>
      <c r="J65" s="15"/>
      <c r="K65" s="15"/>
      <c r="L65" s="15"/>
      <c r="M65" s="15"/>
      <c r="N65" s="15"/>
    </row>
    <row r="66" spans="1:16" x14ac:dyDescent="0.4">
      <c r="A66" s="9"/>
      <c r="B66" s="15"/>
      <c r="C66" s="15"/>
      <c r="D66" s="15"/>
      <c r="E66" s="15"/>
      <c r="F66" s="15"/>
      <c r="G66" s="15"/>
      <c r="H66" s="15"/>
      <c r="I66" s="15"/>
      <c r="J66" s="15"/>
      <c r="K66" s="15"/>
      <c r="L66" s="15"/>
      <c r="M66" s="15"/>
      <c r="N66" s="15"/>
    </row>
    <row r="67" spans="1:16" x14ac:dyDescent="0.4">
      <c r="A67" s="9"/>
      <c r="B67" s="365" t="s">
        <v>53</v>
      </c>
      <c r="C67" s="366" t="s">
        <v>534</v>
      </c>
      <c r="D67" s="366" t="s">
        <v>271</v>
      </c>
      <c r="E67" s="403" t="s">
        <v>232</v>
      </c>
      <c r="F67" s="395" t="s">
        <v>54</v>
      </c>
      <c r="G67" s="396"/>
      <c r="H67" s="397"/>
      <c r="I67" s="398" t="s">
        <v>55</v>
      </c>
      <c r="J67" s="398"/>
      <c r="K67" s="398"/>
      <c r="L67" s="398" t="s">
        <v>56</v>
      </c>
      <c r="M67" s="398"/>
      <c r="N67" s="398"/>
    </row>
    <row r="68" spans="1:16"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6" x14ac:dyDescent="0.4">
      <c r="A69" s="2"/>
      <c r="B69" s="17" t="s">
        <v>103</v>
      </c>
      <c r="C69" s="45">
        <v>33.6</v>
      </c>
      <c r="D69" s="46">
        <v>54.15</v>
      </c>
      <c r="E69" s="46">
        <v>73.5</v>
      </c>
      <c r="F69" s="46">
        <v>71.349999999999994</v>
      </c>
      <c r="G69" s="46">
        <v>83.8</v>
      </c>
      <c r="H69" s="45">
        <v>32.9</v>
      </c>
      <c r="I69" s="45">
        <v>48.4</v>
      </c>
      <c r="J69" s="45">
        <v>70</v>
      </c>
      <c r="K69" s="45">
        <v>30.6</v>
      </c>
      <c r="L69" s="45">
        <v>60.6</v>
      </c>
      <c r="M69" s="45">
        <v>74.25</v>
      </c>
      <c r="N69" s="45">
        <v>37.5</v>
      </c>
    </row>
    <row r="70" spans="1:16" ht="25.65" x14ac:dyDescent="0.4">
      <c r="A70" s="2"/>
      <c r="B70" s="17" t="s">
        <v>104</v>
      </c>
      <c r="C70" s="45">
        <v>10184.85</v>
      </c>
      <c r="D70" s="45">
        <v>10342.299999999999</v>
      </c>
      <c r="E70" s="45">
        <v>10966.2</v>
      </c>
      <c r="F70" s="46">
        <v>10113.700000000001</v>
      </c>
      <c r="G70" s="46">
        <v>11171.55</v>
      </c>
      <c r="H70" s="46">
        <v>9075.15</v>
      </c>
      <c r="I70" s="45">
        <v>11623.9</v>
      </c>
      <c r="J70" s="45">
        <v>11760.2</v>
      </c>
      <c r="K70" s="45">
        <v>10004.549999999999</v>
      </c>
      <c r="L70" s="45">
        <v>8597.75</v>
      </c>
      <c r="M70" s="45">
        <v>12430.5</v>
      </c>
      <c r="N70" s="45">
        <v>7511.1</v>
      </c>
    </row>
    <row r="71" spans="1:16" x14ac:dyDescent="0.4">
      <c r="A71" s="2"/>
      <c r="B71" s="401" t="s">
        <v>94</v>
      </c>
      <c r="C71" s="401"/>
      <c r="D71" s="401"/>
      <c r="E71" s="401"/>
      <c r="F71" s="401"/>
      <c r="G71" s="401"/>
      <c r="H71" s="401"/>
      <c r="I71" s="401"/>
      <c r="J71" s="401"/>
      <c r="K71" s="401"/>
      <c r="L71" s="401"/>
      <c r="M71" s="401"/>
      <c r="N71" s="401"/>
    </row>
    <row r="72" spans="1:16" x14ac:dyDescent="0.4">
      <c r="A72" s="2"/>
      <c r="B72" s="359" t="s">
        <v>63</v>
      </c>
      <c r="C72" s="359"/>
      <c r="D72" s="359"/>
      <c r="E72" s="359"/>
      <c r="F72" s="359"/>
      <c r="G72" s="359"/>
      <c r="H72" s="359"/>
      <c r="I72" s="359"/>
      <c r="J72" s="359"/>
      <c r="K72" s="359"/>
      <c r="L72" s="359"/>
      <c r="M72" s="359"/>
      <c r="N72" s="359"/>
    </row>
    <row r="73" spans="1:16" s="1" customFormat="1" x14ac:dyDescent="0.4">
      <c r="B73" s="359" t="s">
        <v>64</v>
      </c>
      <c r="C73" s="359"/>
      <c r="D73" s="359"/>
      <c r="E73" s="359"/>
      <c r="F73" s="359"/>
      <c r="G73" s="359"/>
      <c r="H73" s="359"/>
      <c r="I73" s="359"/>
      <c r="J73" s="359"/>
      <c r="K73" s="359"/>
      <c r="L73" s="359"/>
      <c r="M73" s="359"/>
      <c r="N73" s="359"/>
      <c r="P73" s="1" t="s">
        <v>693</v>
      </c>
    </row>
    <row r="74" spans="1:16" x14ac:dyDescent="0.4">
      <c r="A74" s="2"/>
      <c r="B74" s="359" t="s">
        <v>358</v>
      </c>
      <c r="C74" s="359"/>
      <c r="D74" s="359"/>
      <c r="E74" s="359"/>
      <c r="F74" s="359"/>
      <c r="G74" s="359"/>
      <c r="H74" s="359"/>
      <c r="I74" s="359"/>
      <c r="J74" s="359"/>
      <c r="K74" s="359"/>
      <c r="L74" s="359"/>
      <c r="M74" s="359"/>
      <c r="N74" s="359"/>
    </row>
    <row r="75" spans="1:16" x14ac:dyDescent="0.4">
      <c r="A75" s="2"/>
      <c r="B75" s="359" t="s">
        <v>65</v>
      </c>
      <c r="C75" s="359"/>
      <c r="D75" s="359"/>
      <c r="E75" s="359"/>
      <c r="F75" s="359"/>
      <c r="G75" s="359"/>
      <c r="H75" s="359"/>
      <c r="I75" s="359"/>
      <c r="J75" s="359"/>
      <c r="K75" s="359"/>
      <c r="L75" s="359"/>
      <c r="M75" s="359"/>
      <c r="N75" s="359"/>
    </row>
    <row r="76" spans="1:16" x14ac:dyDescent="0.4">
      <c r="A76" s="2"/>
      <c r="B76" s="49"/>
      <c r="C76" s="49"/>
      <c r="D76" s="49"/>
      <c r="E76" s="49"/>
      <c r="F76" s="49"/>
      <c r="G76" s="13"/>
      <c r="H76" s="13"/>
      <c r="I76" s="13"/>
      <c r="J76" s="13"/>
      <c r="K76" s="13"/>
      <c r="L76" s="13"/>
      <c r="M76" s="13"/>
      <c r="N76" s="13"/>
    </row>
    <row r="77" spans="1:16" x14ac:dyDescent="0.4">
      <c r="A77" s="9">
        <v>13</v>
      </c>
      <c r="B77" s="405" t="s">
        <v>66</v>
      </c>
      <c r="C77" s="406"/>
      <c r="D77" s="406"/>
      <c r="E77" s="406"/>
      <c r="F77" s="406"/>
      <c r="G77" s="376"/>
      <c r="H77" s="11"/>
      <c r="I77" s="11"/>
      <c r="J77" s="11"/>
      <c r="K77" s="11"/>
      <c r="L77" s="11"/>
      <c r="M77" s="11"/>
      <c r="N77" s="11"/>
    </row>
    <row r="78" spans="1:16" x14ac:dyDescent="0.4">
      <c r="A78" s="9"/>
      <c r="C78" s="15"/>
      <c r="D78" s="15"/>
      <c r="E78" s="15"/>
      <c r="F78" s="15"/>
      <c r="G78" s="15"/>
      <c r="H78" s="15"/>
      <c r="I78" s="15"/>
      <c r="J78" s="15"/>
      <c r="K78" s="15"/>
      <c r="L78" s="15"/>
      <c r="M78" s="15"/>
      <c r="N78" s="15"/>
    </row>
    <row r="79" spans="1:16" ht="64.05" x14ac:dyDescent="0.4">
      <c r="A79" s="2"/>
      <c r="B79" s="50" t="s">
        <v>67</v>
      </c>
      <c r="C79" s="18" t="s">
        <v>68</v>
      </c>
      <c r="D79" s="18" t="s">
        <v>69</v>
      </c>
      <c r="E79" s="18" t="s">
        <v>218</v>
      </c>
      <c r="F79" s="18" t="s">
        <v>71</v>
      </c>
      <c r="G79" s="18" t="s">
        <v>107</v>
      </c>
      <c r="H79" s="13"/>
      <c r="I79" s="13"/>
      <c r="J79" s="13"/>
      <c r="K79" s="13"/>
      <c r="L79" s="13"/>
      <c r="M79" s="13"/>
      <c r="N79" s="13"/>
    </row>
    <row r="80" spans="1:16" x14ac:dyDescent="0.35">
      <c r="A80" s="2"/>
      <c r="B80" s="394" t="s">
        <v>72</v>
      </c>
      <c r="C80" s="3" t="s">
        <v>535</v>
      </c>
      <c r="D80" s="65">
        <v>3</v>
      </c>
      <c r="E80" s="52">
        <v>4.22</v>
      </c>
      <c r="F80" s="52">
        <v>5.3</v>
      </c>
      <c r="G80" s="52"/>
      <c r="H80" s="53"/>
      <c r="I80" s="53"/>
      <c r="J80" s="53"/>
      <c r="K80" s="53"/>
      <c r="L80" s="53"/>
      <c r="M80" s="53"/>
      <c r="N80" s="53"/>
    </row>
    <row r="81" spans="1:14" x14ac:dyDescent="0.4">
      <c r="A81" s="2"/>
      <c r="B81" s="394"/>
      <c r="C81" s="3" t="s">
        <v>73</v>
      </c>
      <c r="D81" s="54"/>
      <c r="E81" s="52"/>
      <c r="F81" s="52"/>
      <c r="G81" s="52"/>
      <c r="H81" s="53"/>
      <c r="I81" s="53"/>
      <c r="J81" s="53"/>
      <c r="K81" s="53"/>
      <c r="L81" s="53"/>
      <c r="M81" s="53"/>
      <c r="N81" s="53"/>
    </row>
    <row r="82" spans="1:14" ht="26.5" x14ac:dyDescent="0.4">
      <c r="A82" s="2"/>
      <c r="B82" s="394"/>
      <c r="C82" s="21" t="s">
        <v>536</v>
      </c>
      <c r="D82" s="54" t="s">
        <v>537</v>
      </c>
      <c r="E82" s="52">
        <v>16.579999999999998</v>
      </c>
      <c r="F82" s="52">
        <v>22.05</v>
      </c>
      <c r="G82" s="52" t="s">
        <v>805</v>
      </c>
      <c r="H82" s="53"/>
      <c r="I82" s="53"/>
      <c r="J82" s="53"/>
      <c r="K82" s="53"/>
      <c r="L82" s="53"/>
      <c r="M82" s="53"/>
      <c r="N82" s="53"/>
    </row>
    <row r="83" spans="1:14" ht="14.15" x14ac:dyDescent="0.35">
      <c r="A83" s="2"/>
      <c r="B83" s="394"/>
      <c r="C83" s="105" t="s">
        <v>538</v>
      </c>
      <c r="D83" s="54">
        <v>3.28</v>
      </c>
      <c r="E83" s="52">
        <v>3.16</v>
      </c>
      <c r="F83" s="52">
        <v>2.29</v>
      </c>
      <c r="G83" s="52">
        <v>3.21</v>
      </c>
      <c r="H83" s="53"/>
      <c r="I83" s="53"/>
      <c r="J83" s="53"/>
      <c r="K83" s="53"/>
      <c r="L83" s="53"/>
      <c r="M83" s="53"/>
      <c r="N83" s="53"/>
    </row>
    <row r="84" spans="1:14" x14ac:dyDescent="0.4">
      <c r="A84" s="2"/>
      <c r="B84" s="394"/>
      <c r="C84" s="21" t="s">
        <v>539</v>
      </c>
      <c r="D84" s="54">
        <v>11.66</v>
      </c>
      <c r="E84" s="52">
        <v>14.94</v>
      </c>
      <c r="F84" s="52">
        <v>-7.0000000000000007E-2</v>
      </c>
      <c r="G84" s="52">
        <v>2.1</v>
      </c>
      <c r="H84" s="53"/>
      <c r="I84" s="53"/>
      <c r="J84" s="53"/>
      <c r="K84" s="53"/>
      <c r="L84" s="53"/>
      <c r="M84" s="53"/>
      <c r="N84" s="53"/>
    </row>
    <row r="85" spans="1:14" x14ac:dyDescent="0.4">
      <c r="A85" s="2"/>
      <c r="B85" s="394"/>
      <c r="C85" s="3" t="s">
        <v>74</v>
      </c>
      <c r="D85" s="132">
        <f>SUM(D82:D84)/3</f>
        <v>4.9799999999999995</v>
      </c>
      <c r="E85" s="132">
        <f>SUM(E82:E84)/3</f>
        <v>11.56</v>
      </c>
      <c r="F85" s="132">
        <f>SUM(F82:F84)/3</f>
        <v>8.09</v>
      </c>
      <c r="G85" s="52"/>
      <c r="H85" s="53"/>
      <c r="I85" s="53"/>
      <c r="J85" s="53"/>
      <c r="K85" s="53"/>
      <c r="L85" s="53"/>
      <c r="M85" s="53"/>
      <c r="N85" s="53"/>
    </row>
    <row r="86" spans="1:14" x14ac:dyDescent="0.35">
      <c r="A86" s="2"/>
      <c r="B86" s="394" t="s">
        <v>75</v>
      </c>
      <c r="C86" s="3" t="s">
        <v>535</v>
      </c>
      <c r="D86" s="77">
        <v>9.32</v>
      </c>
      <c r="E86" s="55">
        <f>F69/E80</f>
        <v>16.907582938388625</v>
      </c>
      <c r="F86" s="55">
        <f>I69/F80</f>
        <v>9.1320754716981138</v>
      </c>
      <c r="G86" s="52"/>
      <c r="H86" s="53"/>
      <c r="I86" s="53"/>
      <c r="J86" s="53"/>
      <c r="K86" s="53"/>
      <c r="L86" s="53"/>
      <c r="M86" s="53"/>
      <c r="N86" s="53"/>
    </row>
    <row r="87" spans="1:14" x14ac:dyDescent="0.4">
      <c r="A87" s="2"/>
      <c r="B87" s="394"/>
      <c r="C87" s="3" t="s">
        <v>73</v>
      </c>
      <c r="D87" s="54"/>
      <c r="E87" s="52"/>
      <c r="F87" s="52"/>
      <c r="G87" s="52"/>
      <c r="H87" s="53"/>
      <c r="I87" s="53"/>
      <c r="J87" s="53"/>
      <c r="K87" s="53"/>
      <c r="L87" s="53"/>
      <c r="M87" s="53"/>
      <c r="N87" s="53"/>
    </row>
    <row r="88" spans="1:14" x14ac:dyDescent="0.4">
      <c r="A88" s="2"/>
      <c r="B88" s="394"/>
      <c r="C88" s="21" t="s">
        <v>536</v>
      </c>
      <c r="D88" s="54">
        <v>26.15</v>
      </c>
      <c r="E88" s="55">
        <f>485.05/E82</f>
        <v>29.255126658624853</v>
      </c>
      <c r="F88" s="55">
        <f>339.9/F82</f>
        <v>15.414965986394556</v>
      </c>
      <c r="G88" s="52" t="s">
        <v>805</v>
      </c>
      <c r="H88" s="53"/>
      <c r="I88" s="53"/>
      <c r="J88" s="53"/>
      <c r="K88" s="53"/>
      <c r="L88" s="53"/>
      <c r="M88" s="53"/>
      <c r="N88" s="53"/>
    </row>
    <row r="89" spans="1:14" ht="14.15" x14ac:dyDescent="0.35">
      <c r="A89" s="2"/>
      <c r="B89" s="394"/>
      <c r="C89" s="105" t="s">
        <v>538</v>
      </c>
      <c r="D89" s="54">
        <v>38.39</v>
      </c>
      <c r="E89" s="55">
        <f>85.05/E83</f>
        <v>26.914556962025316</v>
      </c>
      <c r="F89" s="55">
        <f>59.1/F83</f>
        <v>25.807860262008735</v>
      </c>
      <c r="G89" s="52">
        <v>6.31</v>
      </c>
      <c r="H89" s="53"/>
      <c r="I89" s="53"/>
      <c r="J89" s="53"/>
      <c r="K89" s="53"/>
      <c r="L89" s="53"/>
      <c r="M89" s="53"/>
      <c r="N89" s="53"/>
    </row>
    <row r="90" spans="1:14" x14ac:dyDescent="0.4">
      <c r="A90" s="2"/>
      <c r="B90" s="394"/>
      <c r="C90" s="21" t="s">
        <v>539</v>
      </c>
      <c r="D90" s="54">
        <v>30.11</v>
      </c>
      <c r="E90" s="55">
        <f>319.65/E84</f>
        <v>21.395582329317268</v>
      </c>
      <c r="F90" s="55">
        <f>82.5/F84</f>
        <v>-1178.5714285714284</v>
      </c>
      <c r="G90" s="52">
        <v>5.49</v>
      </c>
      <c r="H90" s="53"/>
      <c r="I90" s="53"/>
      <c r="J90" s="53"/>
      <c r="K90" s="53"/>
      <c r="L90" s="53"/>
      <c r="M90" s="53"/>
      <c r="N90" s="53"/>
    </row>
    <row r="91" spans="1:14" x14ac:dyDescent="0.4">
      <c r="A91" s="2"/>
      <c r="B91" s="394"/>
      <c r="C91" s="3" t="s">
        <v>74</v>
      </c>
      <c r="D91" s="132">
        <f>SUM(D88:D90)/3</f>
        <v>31.549999999999997</v>
      </c>
      <c r="E91" s="132">
        <f>SUM(E88:E90)/3</f>
        <v>25.855088649989145</v>
      </c>
      <c r="F91" s="132">
        <f>SUM(F88:F90)/3</f>
        <v>-379.11620077434173</v>
      </c>
      <c r="G91" s="52"/>
      <c r="H91" s="53"/>
      <c r="I91" s="53"/>
      <c r="J91" s="53"/>
      <c r="K91" s="53"/>
      <c r="L91" s="53"/>
      <c r="M91" s="53"/>
      <c r="N91" s="53"/>
    </row>
    <row r="92" spans="1:14" x14ac:dyDescent="0.35">
      <c r="A92" s="2"/>
      <c r="B92" s="394" t="s">
        <v>76</v>
      </c>
      <c r="C92" s="3" t="s">
        <v>535</v>
      </c>
      <c r="D92" s="65">
        <v>22.86</v>
      </c>
      <c r="E92" s="145">
        <f>814.65/4107.9*100</f>
        <v>19.831300664573138</v>
      </c>
      <c r="F92" s="145">
        <f>1179.06/5286.95*100</f>
        <v>22.30132685196569</v>
      </c>
      <c r="G92" s="52"/>
      <c r="H92" s="53"/>
      <c r="I92" s="53"/>
      <c r="J92" s="53"/>
      <c r="K92" s="53"/>
      <c r="L92" s="53"/>
      <c r="M92" s="53"/>
      <c r="N92" s="53"/>
    </row>
    <row r="93" spans="1:14" x14ac:dyDescent="0.35">
      <c r="A93" s="2"/>
      <c r="B93" s="394"/>
      <c r="C93" s="3" t="s">
        <v>73</v>
      </c>
      <c r="D93" s="65"/>
      <c r="E93" s="52"/>
      <c r="F93" s="52"/>
      <c r="G93" s="52"/>
      <c r="H93" s="53"/>
      <c r="I93" s="53"/>
      <c r="J93" s="53"/>
      <c r="K93" s="53"/>
      <c r="L93" s="53"/>
      <c r="M93" s="53"/>
      <c r="N93" s="53"/>
    </row>
    <row r="94" spans="1:14" x14ac:dyDescent="0.35">
      <c r="A94" s="2"/>
      <c r="B94" s="394"/>
      <c r="C94" s="21" t="s">
        <v>536</v>
      </c>
      <c r="D94" s="65">
        <v>9.2100000000000009</v>
      </c>
      <c r="E94" s="56">
        <f>2287.26/16872.64</f>
        <v>0.13556029169116393</v>
      </c>
      <c r="F94" s="56">
        <f>3025.59/19318.7</f>
        <v>0.15661457551491559</v>
      </c>
      <c r="G94" s="52" t="s">
        <v>805</v>
      </c>
      <c r="H94" s="53"/>
      <c r="I94" s="53"/>
      <c r="J94" s="53"/>
      <c r="K94" s="53"/>
      <c r="L94" s="53"/>
      <c r="M94" s="53"/>
      <c r="N94" s="53"/>
    </row>
    <row r="95" spans="1:14" ht="14.15" x14ac:dyDescent="0.35">
      <c r="A95" s="2"/>
      <c r="B95" s="394"/>
      <c r="C95" s="105" t="s">
        <v>538</v>
      </c>
      <c r="D95" s="65">
        <v>3.27</v>
      </c>
      <c r="E95" s="56">
        <f>2105.48/48667.11</f>
        <v>4.3262893564051781E-2</v>
      </c>
      <c r="F95" s="56">
        <f>1556.38/49413.87</f>
        <v>3.1496824676958107E-2</v>
      </c>
      <c r="G95" s="52">
        <v>4.4400000000000004</v>
      </c>
      <c r="H95" s="53"/>
      <c r="I95" s="53"/>
      <c r="J95" s="53"/>
      <c r="K95" s="53"/>
      <c r="L95" s="53"/>
      <c r="M95" s="53"/>
      <c r="N95" s="53"/>
    </row>
    <row r="96" spans="1:14" x14ac:dyDescent="0.4">
      <c r="A96" s="2"/>
      <c r="B96" s="394"/>
      <c r="C96" s="21" t="s">
        <v>539</v>
      </c>
      <c r="D96" s="54">
        <v>12.56</v>
      </c>
      <c r="E96" s="149">
        <f>567.4/3925.8</f>
        <v>0.14453105099597532</v>
      </c>
      <c r="F96" s="149">
        <f>-2.81/3936.49</f>
        <v>-7.1383389771090494E-4</v>
      </c>
      <c r="G96" s="52">
        <v>2.12</v>
      </c>
      <c r="H96" s="53"/>
      <c r="I96" s="53"/>
      <c r="J96" s="53"/>
      <c r="K96" s="53"/>
      <c r="L96" s="53"/>
      <c r="M96" s="53"/>
      <c r="N96" s="53"/>
    </row>
    <row r="97" spans="1:14" x14ac:dyDescent="0.4">
      <c r="A97" s="2"/>
      <c r="B97" s="394"/>
      <c r="C97" s="3" t="s">
        <v>74</v>
      </c>
      <c r="D97" s="132">
        <f>SUM(D94:D96)/3</f>
        <v>8.3466666666666658</v>
      </c>
      <c r="E97" s="132">
        <f>SUM(E94:E96)/3</f>
        <v>0.10778474541706368</v>
      </c>
      <c r="F97" s="132">
        <f>SUM(F94:F96)/3</f>
        <v>6.24658554313876E-2</v>
      </c>
      <c r="G97" s="52"/>
      <c r="H97" s="53"/>
      <c r="I97" s="53"/>
      <c r="J97" s="53"/>
      <c r="K97" s="57"/>
      <c r="L97" s="53"/>
      <c r="M97" s="53"/>
      <c r="N97" s="53"/>
    </row>
    <row r="98" spans="1:14" x14ac:dyDescent="0.35">
      <c r="A98" s="2"/>
      <c r="B98" s="394" t="s">
        <v>77</v>
      </c>
      <c r="C98" s="3" t="s">
        <v>535</v>
      </c>
      <c r="D98" s="65">
        <v>13.14</v>
      </c>
      <c r="E98" s="55">
        <f>4107.9/222.54</f>
        <v>18.459153410622807</v>
      </c>
      <c r="F98" s="55">
        <f>5286.95*100000/22254900</f>
        <v>23.756341300118176</v>
      </c>
      <c r="G98" s="52"/>
      <c r="H98" s="53"/>
      <c r="I98" s="53"/>
      <c r="J98" s="53"/>
      <c r="K98" s="53"/>
      <c r="L98" s="53"/>
      <c r="M98" s="53"/>
      <c r="N98" s="53"/>
    </row>
    <row r="99" spans="1:14" x14ac:dyDescent="0.4">
      <c r="A99" s="2"/>
      <c r="B99" s="394"/>
      <c r="C99" s="3" t="s">
        <v>73</v>
      </c>
      <c r="D99" s="54"/>
      <c r="E99" s="52"/>
      <c r="F99" s="52"/>
      <c r="G99" s="52"/>
      <c r="H99" s="53"/>
      <c r="I99" s="53"/>
      <c r="J99" s="53"/>
      <c r="K99" s="53"/>
      <c r="L99" s="53"/>
      <c r="M99" s="53"/>
      <c r="N99" s="53"/>
    </row>
    <row r="100" spans="1:14" x14ac:dyDescent="0.4">
      <c r="A100" s="2"/>
      <c r="B100" s="411"/>
      <c r="C100" s="21" t="s">
        <v>536</v>
      </c>
      <c r="D100" s="54">
        <v>117.44</v>
      </c>
      <c r="E100" s="55">
        <f>16872.64/137.19</f>
        <v>122.98738975143961</v>
      </c>
      <c r="F100" s="55">
        <f>19318.7*100000/13719600</f>
        <v>140.81095658765562</v>
      </c>
      <c r="G100" s="52" t="s">
        <v>805</v>
      </c>
      <c r="H100" s="53" t="s">
        <v>693</v>
      </c>
      <c r="I100" s="53"/>
      <c r="J100" s="53"/>
      <c r="K100" s="53"/>
      <c r="L100" s="53"/>
      <c r="M100" s="53"/>
      <c r="N100" s="53"/>
    </row>
    <row r="101" spans="1:14" ht="14.15" x14ac:dyDescent="0.35">
      <c r="A101" s="2"/>
      <c r="B101" s="411"/>
      <c r="C101" s="105" t="s">
        <v>538</v>
      </c>
      <c r="D101" s="54">
        <v>69.95</v>
      </c>
      <c r="E101" s="55">
        <f>48667.11/667.3</f>
        <v>72.931380188820626</v>
      </c>
      <c r="F101" s="55">
        <f>49413.87*100000/66730600</f>
        <v>74.049791250191063</v>
      </c>
      <c r="G101" s="52">
        <v>72.040000000000006</v>
      </c>
      <c r="H101" s="53"/>
      <c r="I101" s="53"/>
      <c r="J101" s="53"/>
      <c r="K101" s="53"/>
      <c r="L101" s="53"/>
      <c r="M101" s="53"/>
      <c r="N101" s="53"/>
    </row>
    <row r="102" spans="1:14" x14ac:dyDescent="0.4">
      <c r="A102" s="2"/>
      <c r="B102" s="411"/>
      <c r="C102" s="21" t="s">
        <v>539</v>
      </c>
      <c r="D102" s="54">
        <v>93.92</v>
      </c>
      <c r="E102" s="55">
        <f>3925.8/39.43</f>
        <v>99.563783920872439</v>
      </c>
      <c r="F102" s="55">
        <f>3936.49*100000/3946500</f>
        <v>99.74635753199037</v>
      </c>
      <c r="G102" s="52">
        <v>100.42</v>
      </c>
      <c r="H102" s="53"/>
      <c r="I102" s="53"/>
      <c r="J102" s="53"/>
      <c r="K102" s="53"/>
      <c r="L102" s="53"/>
      <c r="M102" s="53"/>
      <c r="N102" s="53"/>
    </row>
    <row r="103" spans="1:14" x14ac:dyDescent="0.4">
      <c r="A103" s="2"/>
      <c r="B103" s="411"/>
      <c r="C103" s="3" t="s">
        <v>74</v>
      </c>
      <c r="D103" s="132">
        <f>SUM(D100:D102)/3</f>
        <v>93.77</v>
      </c>
      <c r="E103" s="132">
        <f>SUM(E100:E102)/3</f>
        <v>98.494184620377553</v>
      </c>
      <c r="F103" s="132">
        <f>SUM(F100:F102)/3</f>
        <v>104.86903512327903</v>
      </c>
      <c r="G103" s="52"/>
      <c r="H103" s="53"/>
      <c r="I103" s="53"/>
      <c r="J103" s="53"/>
      <c r="K103" s="53"/>
      <c r="L103" s="53"/>
      <c r="M103" s="53"/>
      <c r="N103" s="53"/>
    </row>
    <row r="104" spans="1:14" s="1" customFormat="1" x14ac:dyDescent="0.4">
      <c r="B104" s="412"/>
      <c r="C104" s="413"/>
      <c r="D104" s="413"/>
      <c r="E104" s="413"/>
      <c r="F104" s="413"/>
      <c r="G104" s="414"/>
    </row>
    <row r="105" spans="1:14" x14ac:dyDescent="0.4">
      <c r="A105" s="2"/>
      <c r="B105" s="415" t="s">
        <v>540</v>
      </c>
      <c r="C105" s="416"/>
      <c r="D105" s="416"/>
      <c r="E105" s="416"/>
      <c r="F105" s="416"/>
      <c r="G105" s="417"/>
      <c r="H105" s="53"/>
      <c r="I105" s="53"/>
      <c r="J105" s="53"/>
      <c r="K105" s="53"/>
      <c r="L105" s="53"/>
      <c r="M105" s="53"/>
      <c r="N105" s="53"/>
    </row>
    <row r="106" spans="1:14" x14ac:dyDescent="0.4">
      <c r="A106" s="2"/>
      <c r="B106" s="418" t="s">
        <v>85</v>
      </c>
      <c r="C106" s="419"/>
      <c r="D106" s="419"/>
      <c r="E106" s="419"/>
      <c r="F106" s="419"/>
      <c r="G106" s="420"/>
      <c r="H106" s="53"/>
      <c r="I106" s="53"/>
      <c r="J106" s="53"/>
      <c r="K106" s="53"/>
      <c r="L106" s="53"/>
      <c r="M106" s="53"/>
      <c r="N106" s="53"/>
    </row>
    <row r="107" spans="1:14" x14ac:dyDescent="0.4">
      <c r="A107" s="2"/>
      <c r="B107" s="363"/>
      <c r="C107" s="368"/>
      <c r="D107" s="368"/>
      <c r="E107" s="368"/>
      <c r="F107" s="368"/>
      <c r="G107" s="369"/>
      <c r="H107" s="53"/>
      <c r="I107" s="53"/>
      <c r="J107" s="53"/>
      <c r="K107" s="53"/>
      <c r="L107" s="53"/>
      <c r="M107" s="53"/>
      <c r="N107" s="53"/>
    </row>
    <row r="108" spans="1:14" x14ac:dyDescent="0.4">
      <c r="C108" s="407"/>
      <c r="D108" s="407"/>
      <c r="E108" s="407"/>
      <c r="F108" s="407"/>
      <c r="G108" s="407"/>
      <c r="H108" s="53"/>
      <c r="I108" s="53"/>
    </row>
    <row r="109" spans="1:14" x14ac:dyDescent="0.4">
      <c r="A109" s="9">
        <v>14</v>
      </c>
      <c r="B109" s="61" t="s">
        <v>78</v>
      </c>
      <c r="C109" s="356" t="s">
        <v>41</v>
      </c>
      <c r="D109" s="357"/>
      <c r="E109" s="357"/>
      <c r="F109" s="357"/>
      <c r="G109" s="408"/>
    </row>
    <row r="110" spans="1:14" x14ac:dyDescent="0.4">
      <c r="A110" s="23"/>
      <c r="C110" s="69"/>
      <c r="D110" s="69"/>
      <c r="E110" s="69"/>
      <c r="F110" s="69"/>
      <c r="G110" s="69"/>
    </row>
    <row r="111" spans="1:14" x14ac:dyDescent="0.4">
      <c r="B111" s="409" t="s">
        <v>541</v>
      </c>
      <c r="C111" s="410"/>
      <c r="D111" s="410"/>
      <c r="E111" s="410"/>
      <c r="F111" s="410"/>
      <c r="G111" s="410"/>
      <c r="H111" s="410"/>
    </row>
  </sheetData>
  <sheetProtection password="EB7F" sheet="1" objects="1" scenarios="1"/>
  <mergeCells count="58">
    <mergeCell ref="B111:H111"/>
    <mergeCell ref="B104:G104"/>
    <mergeCell ref="B105:G105"/>
    <mergeCell ref="B106:G106"/>
    <mergeCell ref="B107:G107"/>
    <mergeCell ref="C108:G108"/>
    <mergeCell ref="C109:G109"/>
    <mergeCell ref="B74:N74"/>
    <mergeCell ref="B75:N75"/>
    <mergeCell ref="B77:G77"/>
    <mergeCell ref="B80:B85"/>
    <mergeCell ref="B86:B91"/>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pageSetup paperSize="9" orientation="portrait"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107"/>
  <sheetViews>
    <sheetView topLeftCell="B79" workbookViewId="0">
      <selection activeCell="B75" sqref="B75:N75"/>
    </sheetView>
  </sheetViews>
  <sheetFormatPr defaultColWidth="8.84375" defaultRowHeight="13.25" x14ac:dyDescent="0.4"/>
  <cols>
    <col min="1" max="1" width="8.84375" style="8"/>
    <col min="2" max="2" width="40.84375" style="8" customWidth="1"/>
    <col min="3" max="3" width="34.69140625" style="8" customWidth="1"/>
    <col min="4" max="4" width="26.5351562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542</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543</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544</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501</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54">
        <v>1.0500000000000001E-2</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263</v>
      </c>
      <c r="E28" s="18" t="s">
        <v>23</v>
      </c>
      <c r="F28" s="15"/>
    </row>
    <row r="29" spans="1:14" ht="12.7" customHeight="1" x14ac:dyDescent="0.4">
      <c r="A29" s="9"/>
      <c r="B29" s="19" t="s">
        <v>24</v>
      </c>
      <c r="C29" s="21">
        <v>5472.79</v>
      </c>
      <c r="D29" s="21">
        <v>7728.25</v>
      </c>
      <c r="E29" s="21">
        <v>10699.64</v>
      </c>
      <c r="F29" s="15"/>
    </row>
    <row r="30" spans="1:14" x14ac:dyDescent="0.4">
      <c r="A30" s="9"/>
      <c r="B30" s="19" t="s">
        <v>25</v>
      </c>
      <c r="C30" s="21">
        <v>579.14</v>
      </c>
      <c r="D30" s="21">
        <v>522.70000000000005</v>
      </c>
      <c r="E30" s="21">
        <v>-332.66</v>
      </c>
      <c r="F30" s="15"/>
    </row>
    <row r="31" spans="1:14" x14ac:dyDescent="0.4">
      <c r="A31" s="9"/>
      <c r="B31" s="19" t="s">
        <v>26</v>
      </c>
      <c r="C31" s="21">
        <v>968.72</v>
      </c>
      <c r="D31" s="21">
        <v>968.72</v>
      </c>
      <c r="E31" s="21">
        <v>968.72</v>
      </c>
      <c r="F31" s="15" t="s">
        <v>693</v>
      </c>
    </row>
    <row r="32" spans="1:14" x14ac:dyDescent="0.4">
      <c r="A32" s="9"/>
      <c r="B32" s="19" t="s">
        <v>27</v>
      </c>
      <c r="C32" s="21">
        <v>2423.67</v>
      </c>
      <c r="D32" s="21">
        <v>2887.98</v>
      </c>
      <c r="E32" s="21">
        <v>2466.17</v>
      </c>
      <c r="F32" s="15"/>
    </row>
    <row r="33" spans="1:10" x14ac:dyDescent="0.4">
      <c r="A33" s="9"/>
      <c r="B33" s="363" t="s">
        <v>294</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t="s">
        <v>693</v>
      </c>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13</v>
      </c>
      <c r="D44" s="374"/>
      <c r="E44" s="375"/>
      <c r="F44" s="13"/>
    </row>
    <row r="45" spans="1:10" x14ac:dyDescent="0.4">
      <c r="A45" s="9"/>
      <c r="B45" s="17" t="s">
        <v>32</v>
      </c>
      <c r="C45" s="446" t="s">
        <v>13</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119.3" x14ac:dyDescent="0.4">
      <c r="A50" s="29"/>
      <c r="B50" s="78" t="s">
        <v>307</v>
      </c>
      <c r="C50" s="78" t="s">
        <v>545</v>
      </c>
      <c r="D50" s="78" t="s">
        <v>668</v>
      </c>
      <c r="E50" s="78" t="s">
        <v>83</v>
      </c>
    </row>
    <row r="51" spans="1:14" x14ac:dyDescent="0.4">
      <c r="A51" s="31"/>
      <c r="B51" s="380" t="s">
        <v>670</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546</v>
      </c>
      <c r="D54" s="386"/>
      <c r="E54" s="387"/>
      <c r="K54" s="1"/>
    </row>
    <row r="55" spans="1:14" ht="43.55" customHeight="1" x14ac:dyDescent="0.4">
      <c r="A55" s="29"/>
      <c r="B55" s="384"/>
      <c r="C55" s="388"/>
      <c r="D55" s="389"/>
      <c r="E55" s="390"/>
      <c r="K55" s="1"/>
    </row>
    <row r="56" spans="1:14" ht="57" customHeight="1" x14ac:dyDescent="0.4">
      <c r="A56" s="24"/>
      <c r="B56" s="33" t="s">
        <v>44</v>
      </c>
      <c r="C56" s="391" t="s">
        <v>669</v>
      </c>
      <c r="D56" s="391"/>
      <c r="E56" s="391"/>
    </row>
    <row r="57" spans="1:14" x14ac:dyDescent="0.4">
      <c r="A57" s="29"/>
      <c r="B57" s="33" t="s">
        <v>45</v>
      </c>
      <c r="C57" s="391" t="s">
        <v>46</v>
      </c>
      <c r="D57" s="391"/>
      <c r="E57" s="391"/>
      <c r="K57" s="34"/>
    </row>
    <row r="58" spans="1:14" x14ac:dyDescent="0.4">
      <c r="A58" s="29"/>
      <c r="B58" s="380" t="s">
        <v>670</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43"/>
      <c r="F64" s="43"/>
      <c r="G64" s="43"/>
      <c r="H64" s="11"/>
      <c r="I64" s="11"/>
      <c r="J64" s="11"/>
      <c r="K64" s="11"/>
      <c r="L64" s="11"/>
      <c r="M64" s="11"/>
      <c r="N64" s="11"/>
    </row>
    <row r="65" spans="1:16" x14ac:dyDescent="0.4">
      <c r="A65" s="9"/>
      <c r="B65" s="17" t="s">
        <v>52</v>
      </c>
      <c r="C65" s="19" t="s">
        <v>547</v>
      </c>
      <c r="D65" s="15"/>
      <c r="E65" s="15"/>
      <c r="F65" s="44"/>
      <c r="G65" s="44"/>
      <c r="H65" s="15"/>
      <c r="I65" s="15"/>
      <c r="J65" s="15"/>
      <c r="K65" s="15"/>
      <c r="L65" s="15"/>
      <c r="M65" s="15"/>
      <c r="N65" s="15"/>
    </row>
    <row r="66" spans="1:16" x14ac:dyDescent="0.4">
      <c r="A66" s="9"/>
      <c r="B66" s="15"/>
      <c r="C66" s="15"/>
      <c r="D66" s="15"/>
      <c r="E66" s="15"/>
      <c r="F66" s="15"/>
      <c r="G66" s="15"/>
      <c r="H66" s="15"/>
      <c r="I66" s="15"/>
      <c r="J66" s="15"/>
      <c r="K66" s="15"/>
      <c r="L66" s="15"/>
      <c r="M66" s="15"/>
      <c r="N66" s="15"/>
    </row>
    <row r="67" spans="1:16" x14ac:dyDescent="0.4">
      <c r="A67" s="9"/>
      <c r="B67" s="365" t="s">
        <v>53</v>
      </c>
      <c r="C67" s="366" t="s">
        <v>548</v>
      </c>
      <c r="D67" s="366" t="s">
        <v>271</v>
      </c>
      <c r="E67" s="403" t="s">
        <v>232</v>
      </c>
      <c r="F67" s="395" t="s">
        <v>54</v>
      </c>
      <c r="G67" s="396"/>
      <c r="H67" s="397"/>
      <c r="I67" s="398" t="s">
        <v>55</v>
      </c>
      <c r="J67" s="398"/>
      <c r="K67" s="398"/>
      <c r="L67" s="398" t="s">
        <v>56</v>
      </c>
      <c r="M67" s="398"/>
      <c r="N67" s="398"/>
    </row>
    <row r="68" spans="1:16"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6" x14ac:dyDescent="0.4">
      <c r="A69" s="2"/>
      <c r="B69" s="17" t="s">
        <v>103</v>
      </c>
      <c r="C69" s="45">
        <v>120</v>
      </c>
      <c r="D69" s="46">
        <v>166.3</v>
      </c>
      <c r="E69" s="46">
        <v>121</v>
      </c>
      <c r="F69" s="46">
        <v>101</v>
      </c>
      <c r="G69" s="46">
        <v>187</v>
      </c>
      <c r="H69" s="45">
        <v>99.9</v>
      </c>
      <c r="I69" s="45">
        <v>66</v>
      </c>
      <c r="J69" s="45">
        <v>134.94999999999999</v>
      </c>
      <c r="K69" s="45">
        <v>60.05</v>
      </c>
      <c r="L69" s="45">
        <v>17.55</v>
      </c>
      <c r="M69" s="45">
        <v>73.900000000000006</v>
      </c>
      <c r="N69" s="45">
        <v>17</v>
      </c>
    </row>
    <row r="70" spans="1:16" ht="25.65" x14ac:dyDescent="0.4">
      <c r="A70" s="2"/>
      <c r="B70" s="17" t="s">
        <v>104</v>
      </c>
      <c r="C70" s="45">
        <v>10298.75</v>
      </c>
      <c r="D70" s="45">
        <v>10298.75</v>
      </c>
      <c r="E70" s="45">
        <v>10378.4</v>
      </c>
      <c r="F70" s="46">
        <v>10113.700000000001</v>
      </c>
      <c r="G70" s="46">
        <v>11171.55</v>
      </c>
      <c r="H70" s="46">
        <v>9075.15</v>
      </c>
      <c r="I70" s="45">
        <v>11623.9</v>
      </c>
      <c r="J70" s="45">
        <v>11760.2</v>
      </c>
      <c r="K70" s="45">
        <v>10004.549999999999</v>
      </c>
      <c r="L70" s="45">
        <v>8597.75</v>
      </c>
      <c r="M70" s="45">
        <v>12430.5</v>
      </c>
      <c r="N70" s="45">
        <v>7511.1</v>
      </c>
    </row>
    <row r="71" spans="1:16" x14ac:dyDescent="0.4">
      <c r="A71" s="2"/>
      <c r="B71" s="401" t="s">
        <v>94</v>
      </c>
      <c r="C71" s="401"/>
      <c r="D71" s="401"/>
      <c r="E71" s="401"/>
      <c r="F71" s="401"/>
      <c r="G71" s="401"/>
      <c r="H71" s="401"/>
      <c r="I71" s="401"/>
      <c r="J71" s="401"/>
      <c r="K71" s="401"/>
      <c r="L71" s="401"/>
      <c r="M71" s="401"/>
      <c r="N71" s="401"/>
    </row>
    <row r="72" spans="1:16" x14ac:dyDescent="0.4">
      <c r="A72" s="2"/>
      <c r="B72" s="359" t="s">
        <v>63</v>
      </c>
      <c r="C72" s="359"/>
      <c r="D72" s="359"/>
      <c r="E72" s="359"/>
      <c r="F72" s="359"/>
      <c r="G72" s="359"/>
      <c r="H72" s="359"/>
      <c r="I72" s="359"/>
      <c r="J72" s="359"/>
      <c r="K72" s="359"/>
      <c r="L72" s="359"/>
      <c r="M72" s="359"/>
      <c r="N72" s="359"/>
    </row>
    <row r="73" spans="1:16" s="1" customFormat="1" x14ac:dyDescent="0.4">
      <c r="B73" s="359" t="s">
        <v>64</v>
      </c>
      <c r="C73" s="359"/>
      <c r="D73" s="359"/>
      <c r="E73" s="359"/>
      <c r="F73" s="359"/>
      <c r="G73" s="359"/>
      <c r="H73" s="359"/>
      <c r="I73" s="359"/>
      <c r="J73" s="359"/>
      <c r="K73" s="359"/>
      <c r="L73" s="359"/>
      <c r="M73" s="359"/>
      <c r="N73" s="359"/>
    </row>
    <row r="74" spans="1:16" x14ac:dyDescent="0.4">
      <c r="A74" s="2"/>
      <c r="B74" s="359" t="s">
        <v>358</v>
      </c>
      <c r="C74" s="359"/>
      <c r="D74" s="359"/>
      <c r="E74" s="359"/>
      <c r="F74" s="359"/>
      <c r="G74" s="359"/>
      <c r="H74" s="359"/>
      <c r="I74" s="359"/>
      <c r="J74" s="359"/>
      <c r="K74" s="359"/>
      <c r="L74" s="359"/>
      <c r="M74" s="359"/>
      <c r="N74" s="359"/>
    </row>
    <row r="75" spans="1:16" x14ac:dyDescent="0.4">
      <c r="A75" s="2"/>
      <c r="B75" s="359" t="s">
        <v>65</v>
      </c>
      <c r="C75" s="359"/>
      <c r="D75" s="359"/>
      <c r="E75" s="359"/>
      <c r="F75" s="359"/>
      <c r="G75" s="359"/>
      <c r="H75" s="359"/>
      <c r="I75" s="359"/>
      <c r="J75" s="359"/>
      <c r="K75" s="359"/>
      <c r="L75" s="359"/>
      <c r="M75" s="359"/>
      <c r="N75" s="359"/>
    </row>
    <row r="76" spans="1:16" x14ac:dyDescent="0.4">
      <c r="A76" s="2"/>
      <c r="B76" s="49"/>
      <c r="C76" s="49"/>
      <c r="D76" s="49"/>
      <c r="E76" s="49"/>
      <c r="F76" s="49"/>
      <c r="G76" s="13"/>
      <c r="H76" s="13"/>
      <c r="I76" s="13"/>
      <c r="J76" s="13"/>
      <c r="K76" s="13"/>
      <c r="L76" s="13"/>
      <c r="M76" s="13"/>
      <c r="N76" s="13"/>
    </row>
    <row r="77" spans="1:16" x14ac:dyDescent="0.4">
      <c r="A77" s="9">
        <v>13</v>
      </c>
      <c r="B77" s="405" t="s">
        <v>66</v>
      </c>
      <c r="C77" s="406"/>
      <c r="D77" s="406"/>
      <c r="E77" s="406"/>
      <c r="F77" s="406"/>
      <c r="G77" s="376"/>
      <c r="H77" s="11"/>
      <c r="I77" s="11"/>
      <c r="J77" s="11"/>
      <c r="K77" s="11"/>
      <c r="L77" s="11"/>
      <c r="M77" s="11"/>
      <c r="N77" s="11"/>
    </row>
    <row r="78" spans="1:16" x14ac:dyDescent="0.4">
      <c r="A78" s="9"/>
      <c r="C78" s="15"/>
      <c r="D78" s="15"/>
      <c r="E78" s="15"/>
      <c r="F78" s="15"/>
      <c r="G78" s="15"/>
      <c r="H78" s="15"/>
      <c r="I78" s="15"/>
      <c r="J78" s="15"/>
      <c r="K78" s="15"/>
      <c r="L78" s="15"/>
      <c r="M78" s="15"/>
      <c r="N78" s="15"/>
    </row>
    <row r="79" spans="1:16" ht="51.25" x14ac:dyDescent="0.4">
      <c r="A79" s="2"/>
      <c r="B79" s="50" t="s">
        <v>67</v>
      </c>
      <c r="C79" s="18" t="s">
        <v>68</v>
      </c>
      <c r="D79" s="18" t="s">
        <v>69</v>
      </c>
      <c r="E79" s="18" t="s">
        <v>218</v>
      </c>
      <c r="F79" s="18" t="s">
        <v>71</v>
      </c>
      <c r="G79" s="18" t="s">
        <v>107</v>
      </c>
      <c r="H79" s="13"/>
      <c r="I79" s="13"/>
      <c r="J79" s="13"/>
      <c r="K79" s="13"/>
      <c r="L79" s="13"/>
      <c r="M79" s="13"/>
      <c r="N79" s="13"/>
      <c r="P79" s="8" t="s">
        <v>693</v>
      </c>
    </row>
    <row r="80" spans="1:16" x14ac:dyDescent="0.35">
      <c r="A80" s="2"/>
      <c r="B80" s="394" t="s">
        <v>72</v>
      </c>
      <c r="C80" s="3" t="s">
        <v>549</v>
      </c>
      <c r="D80" s="65">
        <v>5.54</v>
      </c>
      <c r="E80" s="52">
        <v>6.72</v>
      </c>
      <c r="F80" s="20">
        <v>5.4</v>
      </c>
      <c r="G80" s="52"/>
      <c r="H80" s="53"/>
      <c r="I80" s="53"/>
      <c r="J80" s="53"/>
      <c r="K80" s="53"/>
      <c r="L80" s="53"/>
      <c r="M80" s="53"/>
      <c r="N80" s="53"/>
    </row>
    <row r="81" spans="1:14" x14ac:dyDescent="0.4">
      <c r="A81" s="2"/>
      <c r="B81" s="394"/>
      <c r="C81" s="3" t="s">
        <v>73</v>
      </c>
      <c r="D81" s="54"/>
      <c r="E81" s="52"/>
      <c r="F81" s="20"/>
      <c r="G81" s="52"/>
      <c r="H81" s="53"/>
      <c r="I81" s="53"/>
      <c r="J81" s="53"/>
      <c r="K81" s="53"/>
      <c r="L81" s="53"/>
      <c r="M81" s="53"/>
      <c r="N81" s="53"/>
    </row>
    <row r="82" spans="1:14" ht="26.5" x14ac:dyDescent="0.4">
      <c r="A82" s="2"/>
      <c r="B82" s="394"/>
      <c r="C82" s="21" t="s">
        <v>550</v>
      </c>
      <c r="D82" s="54" t="s">
        <v>551</v>
      </c>
      <c r="E82" s="52">
        <v>18.38</v>
      </c>
      <c r="F82" s="20">
        <v>15.86</v>
      </c>
      <c r="G82" s="52">
        <v>-30.28</v>
      </c>
      <c r="H82" s="53"/>
      <c r="I82" s="53"/>
      <c r="J82" s="53"/>
      <c r="K82" s="53"/>
      <c r="L82" s="53"/>
      <c r="M82" s="53"/>
      <c r="N82" s="53"/>
    </row>
    <row r="83" spans="1:14" x14ac:dyDescent="0.4">
      <c r="A83" s="2"/>
      <c r="B83" s="394"/>
      <c r="C83" s="21" t="s">
        <v>552</v>
      </c>
      <c r="D83" s="54">
        <v>7.34</v>
      </c>
      <c r="E83" s="52">
        <v>42.44</v>
      </c>
      <c r="F83" s="20">
        <v>57.34</v>
      </c>
      <c r="G83" s="52">
        <v>20.46</v>
      </c>
      <c r="H83" s="53"/>
      <c r="I83" s="53"/>
      <c r="J83" s="53"/>
      <c r="K83" s="53"/>
      <c r="L83" s="53"/>
      <c r="M83" s="53"/>
      <c r="N83" s="53"/>
    </row>
    <row r="84" spans="1:14" x14ac:dyDescent="0.4">
      <c r="A84" s="2"/>
      <c r="B84" s="394"/>
      <c r="C84" s="3" t="s">
        <v>74</v>
      </c>
      <c r="D84" s="76"/>
      <c r="E84" s="52"/>
      <c r="F84" s="20"/>
      <c r="G84" s="52"/>
      <c r="H84" s="53"/>
      <c r="I84" s="53"/>
      <c r="J84" s="53"/>
      <c r="K84" s="53"/>
      <c r="L84" s="53"/>
      <c r="M84" s="53"/>
      <c r="N84" s="53"/>
    </row>
    <row r="85" spans="1:14" x14ac:dyDescent="0.35">
      <c r="A85" s="2"/>
      <c r="B85" s="394" t="s">
        <v>75</v>
      </c>
      <c r="C85" s="3" t="s">
        <v>549</v>
      </c>
      <c r="D85" s="77">
        <v>12.69</v>
      </c>
      <c r="E85" s="55">
        <f>F69/E80</f>
        <v>15.029761904761905</v>
      </c>
      <c r="F85" s="101">
        <f>I69/F80</f>
        <v>12.222222222222221</v>
      </c>
      <c r="G85" s="52"/>
      <c r="H85" s="53"/>
      <c r="I85" s="53"/>
      <c r="J85" s="53"/>
      <c r="K85" s="53"/>
      <c r="L85" s="53"/>
      <c r="M85" s="53"/>
      <c r="N85" s="53"/>
    </row>
    <row r="86" spans="1:14" x14ac:dyDescent="0.4">
      <c r="A86" s="2"/>
      <c r="B86" s="394"/>
      <c r="C86" s="3" t="s">
        <v>73</v>
      </c>
      <c r="D86" s="54"/>
      <c r="E86" s="52"/>
      <c r="F86" s="20"/>
      <c r="G86" s="52"/>
      <c r="H86" s="53"/>
      <c r="I86" s="53"/>
      <c r="J86" s="53"/>
      <c r="K86" s="53"/>
      <c r="L86" s="53"/>
      <c r="M86" s="53"/>
      <c r="N86" s="53"/>
    </row>
    <row r="87" spans="1:14" x14ac:dyDescent="0.4">
      <c r="A87" s="2"/>
      <c r="B87" s="394"/>
      <c r="C87" s="21" t="s">
        <v>550</v>
      </c>
      <c r="D87" s="54">
        <v>50.15</v>
      </c>
      <c r="E87" s="55">
        <f>1028.75/E82</f>
        <v>55.971164309031558</v>
      </c>
      <c r="F87" s="101">
        <f>748.45/F82</f>
        <v>47.191046658259779</v>
      </c>
      <c r="G87" s="52">
        <v>0</v>
      </c>
      <c r="H87" s="53"/>
      <c r="I87" s="53"/>
      <c r="J87" s="53"/>
      <c r="K87" s="53"/>
      <c r="L87" s="53"/>
      <c r="M87" s="53"/>
      <c r="N87" s="53"/>
    </row>
    <row r="88" spans="1:14" x14ac:dyDescent="0.4">
      <c r="A88" s="2"/>
      <c r="B88" s="394"/>
      <c r="C88" s="21" t="s">
        <v>552</v>
      </c>
      <c r="D88" s="54">
        <v>112.21</v>
      </c>
      <c r="E88" s="55">
        <f>2217.15/E83</f>
        <v>52.241988689915182</v>
      </c>
      <c r="F88" s="101">
        <f>3002.05/F83</f>
        <v>52.355249389605859</v>
      </c>
      <c r="G88" s="52">
        <v>74.62</v>
      </c>
      <c r="H88" s="53"/>
      <c r="I88" s="53"/>
      <c r="J88" s="53"/>
      <c r="K88" s="53"/>
      <c r="L88" s="53"/>
      <c r="M88" s="53"/>
      <c r="N88" s="53"/>
    </row>
    <row r="89" spans="1:14" x14ac:dyDescent="0.4">
      <c r="A89" s="2"/>
      <c r="B89" s="394"/>
      <c r="C89" s="3" t="s">
        <v>74</v>
      </c>
      <c r="D89" s="76"/>
      <c r="E89" s="52"/>
      <c r="F89" s="20"/>
      <c r="G89" s="52"/>
      <c r="H89" s="53"/>
      <c r="I89" s="53"/>
      <c r="J89" s="53"/>
      <c r="K89" s="53"/>
      <c r="L89" s="53"/>
      <c r="M89" s="53"/>
      <c r="N89" s="53"/>
    </row>
    <row r="90" spans="1:14" x14ac:dyDescent="0.35">
      <c r="A90" s="2"/>
      <c r="B90" s="394" t="s">
        <v>76</v>
      </c>
      <c r="C90" s="3" t="s">
        <v>549</v>
      </c>
      <c r="D90" s="65">
        <v>12.74</v>
      </c>
      <c r="E90" s="145">
        <f>579.14/3392.39*100</f>
        <v>17.071739982726044</v>
      </c>
      <c r="F90" s="101">
        <f>522.7/3856.7*100</f>
        <v>13.553037570980372</v>
      </c>
      <c r="G90" s="52"/>
      <c r="H90" s="53"/>
      <c r="I90" s="53"/>
      <c r="J90" s="53"/>
      <c r="K90" s="53"/>
      <c r="L90" s="53"/>
      <c r="M90" s="53"/>
      <c r="N90" s="53"/>
    </row>
    <row r="91" spans="1:14" x14ac:dyDescent="0.4">
      <c r="A91" s="2"/>
      <c r="B91" s="394"/>
      <c r="C91" s="3" t="s">
        <v>73</v>
      </c>
      <c r="D91" s="54"/>
      <c r="E91" s="52"/>
      <c r="F91" s="20"/>
      <c r="G91" s="52"/>
      <c r="H91" s="53"/>
      <c r="I91" s="53"/>
      <c r="J91" s="53"/>
      <c r="K91" s="53"/>
      <c r="L91" s="53"/>
      <c r="M91" s="53"/>
      <c r="N91" s="53"/>
    </row>
    <row r="92" spans="1:14" x14ac:dyDescent="0.4">
      <c r="A92" s="2"/>
      <c r="B92" s="394"/>
      <c r="C92" s="21" t="s">
        <v>550</v>
      </c>
      <c r="D92" s="54">
        <v>19.149999999999999</v>
      </c>
      <c r="E92" s="145">
        <f>25926.39/236147.4*100</f>
        <v>10.978901313332265</v>
      </c>
      <c r="F92" s="101">
        <f>23127.99/259496.52*100</f>
        <v>8.9126397533192367</v>
      </c>
      <c r="G92" s="52">
        <v>-16.8</v>
      </c>
      <c r="H92" s="53"/>
      <c r="I92" s="53"/>
      <c r="J92" s="53"/>
      <c r="K92" s="53"/>
      <c r="L92" s="53"/>
      <c r="M92" s="53"/>
      <c r="N92" s="53"/>
    </row>
    <row r="93" spans="1:14" x14ac:dyDescent="0.4">
      <c r="A93" s="2"/>
      <c r="B93" s="394"/>
      <c r="C93" s="21" t="s">
        <v>552</v>
      </c>
      <c r="D93" s="54">
        <v>19.11</v>
      </c>
      <c r="E93" s="145">
        <f>7255.7/43266.11*100</f>
        <v>16.769938411380174</v>
      </c>
      <c r="F93" s="101">
        <f>9802.99/53911.58*100</f>
        <v>18.183458915505721</v>
      </c>
      <c r="G93" s="52">
        <v>6.75</v>
      </c>
      <c r="H93" s="53"/>
      <c r="I93" s="53"/>
      <c r="J93" s="53"/>
      <c r="K93" s="53"/>
      <c r="L93" s="53"/>
      <c r="M93" s="53"/>
      <c r="N93" s="53"/>
    </row>
    <row r="94" spans="1:14" x14ac:dyDescent="0.4">
      <c r="A94" s="2"/>
      <c r="B94" s="394"/>
      <c r="C94" s="3" t="s">
        <v>74</v>
      </c>
      <c r="D94" s="76"/>
      <c r="E94" s="52"/>
      <c r="F94" s="20"/>
      <c r="G94" s="52"/>
      <c r="H94" s="53"/>
      <c r="I94" s="53"/>
      <c r="J94" s="53"/>
      <c r="K94" s="57"/>
      <c r="L94" s="53"/>
      <c r="M94" s="53"/>
      <c r="N94" s="53"/>
    </row>
    <row r="95" spans="1:14" x14ac:dyDescent="0.35">
      <c r="A95" s="2"/>
      <c r="B95" s="394" t="s">
        <v>77</v>
      </c>
      <c r="C95" s="3" t="s">
        <v>549</v>
      </c>
      <c r="D95" s="65">
        <v>142</v>
      </c>
      <c r="E95" s="55">
        <f>3392.39/96.87</f>
        <v>35.020026840094971</v>
      </c>
      <c r="F95" s="101">
        <f>3856.7*100000/9687200</f>
        <v>39.812329672144685</v>
      </c>
      <c r="G95" s="52"/>
      <c r="H95" s="53"/>
      <c r="I95" s="53"/>
      <c r="J95" s="53"/>
      <c r="K95" s="53"/>
      <c r="L95" s="53"/>
      <c r="M95" s="53"/>
      <c r="N95" s="53"/>
    </row>
    <row r="96" spans="1:14" x14ac:dyDescent="0.4">
      <c r="A96" s="2"/>
      <c r="B96" s="394"/>
      <c r="C96" s="3" t="s">
        <v>73</v>
      </c>
      <c r="D96" s="54"/>
      <c r="E96" s="52"/>
      <c r="F96" s="20"/>
      <c r="G96" s="52"/>
      <c r="H96" s="53"/>
      <c r="I96" s="53"/>
      <c r="J96" s="53"/>
      <c r="K96" s="53"/>
      <c r="L96" s="53"/>
      <c r="M96" s="53"/>
      <c r="N96" s="53"/>
    </row>
    <row r="97" spans="1:14" x14ac:dyDescent="0.4">
      <c r="A97" s="2"/>
      <c r="B97" s="411"/>
      <c r="C97" s="21" t="s">
        <v>550</v>
      </c>
      <c r="D97" s="54">
        <v>216.41</v>
      </c>
      <c r="E97" s="55">
        <f>236147.4/1454.84</f>
        <v>162.31846801022795</v>
      </c>
      <c r="F97" s="101">
        <f>259496.52*100000/146084800</f>
        <v>177.63416864725147</v>
      </c>
      <c r="G97" s="52">
        <v>153.37</v>
      </c>
      <c r="H97" s="53"/>
      <c r="I97" s="53"/>
      <c r="J97" s="53"/>
      <c r="K97" s="53"/>
      <c r="L97" s="53"/>
      <c r="M97" s="53"/>
      <c r="N97" s="53"/>
    </row>
    <row r="98" spans="1:14" x14ac:dyDescent="0.4">
      <c r="A98" s="2"/>
      <c r="B98" s="411"/>
      <c r="C98" s="21" t="s">
        <v>552</v>
      </c>
      <c r="D98" s="54">
        <v>62.43</v>
      </c>
      <c r="E98" s="55">
        <f>43266.11/170.96</f>
        <v>253.07738652316331</v>
      </c>
      <c r="F98" s="101">
        <f>53911.58*100000/17096800</f>
        <v>315.33140704693278</v>
      </c>
      <c r="G98" s="52">
        <v>329.91</v>
      </c>
      <c r="H98" s="53"/>
      <c r="I98" s="53"/>
      <c r="J98" s="53"/>
      <c r="K98" s="53"/>
      <c r="L98" s="53"/>
      <c r="M98" s="53"/>
      <c r="N98" s="53"/>
    </row>
    <row r="99" spans="1:14" x14ac:dyDescent="0.4">
      <c r="A99" s="2"/>
      <c r="B99" s="411"/>
      <c r="C99" s="3" t="s">
        <v>74</v>
      </c>
      <c r="D99" s="76"/>
      <c r="E99" s="52"/>
      <c r="F99" s="20"/>
      <c r="G99" s="52"/>
      <c r="H99" s="53"/>
      <c r="I99" s="53"/>
      <c r="J99" s="53"/>
      <c r="K99" s="53"/>
      <c r="L99" s="53"/>
      <c r="M99" s="53"/>
      <c r="N99" s="53"/>
    </row>
    <row r="100" spans="1:14" s="1" customFormat="1" x14ac:dyDescent="0.4">
      <c r="B100" s="412"/>
      <c r="C100" s="413"/>
      <c r="D100" s="413"/>
      <c r="E100" s="413"/>
      <c r="F100" s="413"/>
      <c r="G100" s="414"/>
    </row>
    <row r="101" spans="1:14" x14ac:dyDescent="0.4">
      <c r="A101" s="2"/>
      <c r="B101" s="415" t="s">
        <v>553</v>
      </c>
      <c r="C101" s="416"/>
      <c r="D101" s="416"/>
      <c r="E101" s="416"/>
      <c r="F101" s="416"/>
      <c r="G101" s="417"/>
      <c r="H101" s="53"/>
      <c r="I101" s="53"/>
      <c r="J101" s="53"/>
      <c r="K101" s="53"/>
      <c r="L101" s="53"/>
      <c r="M101" s="53"/>
      <c r="N101" s="53"/>
    </row>
    <row r="102" spans="1:14" x14ac:dyDescent="0.4">
      <c r="A102" s="2"/>
      <c r="B102" s="418" t="s">
        <v>85</v>
      </c>
      <c r="C102" s="419"/>
      <c r="D102" s="419"/>
      <c r="E102" s="419"/>
      <c r="F102" s="419"/>
      <c r="G102" s="420"/>
      <c r="H102" s="53"/>
      <c r="I102" s="53"/>
      <c r="J102" s="53"/>
      <c r="K102" s="53"/>
      <c r="L102" s="53"/>
      <c r="M102" s="53"/>
      <c r="N102" s="53"/>
    </row>
    <row r="103" spans="1:14" x14ac:dyDescent="0.4">
      <c r="A103" s="2"/>
      <c r="B103" s="363"/>
      <c r="C103" s="368"/>
      <c r="D103" s="368"/>
      <c r="E103" s="368"/>
      <c r="F103" s="368"/>
      <c r="G103" s="369"/>
      <c r="H103" s="53"/>
      <c r="I103" s="53"/>
      <c r="J103" s="53"/>
      <c r="K103" s="53"/>
      <c r="L103" s="53"/>
      <c r="M103" s="53"/>
      <c r="N103" s="53"/>
    </row>
    <row r="104" spans="1:14" x14ac:dyDescent="0.4">
      <c r="C104" s="407"/>
      <c r="D104" s="407"/>
      <c r="E104" s="407"/>
      <c r="F104" s="407"/>
      <c r="G104" s="407"/>
      <c r="H104" s="53"/>
      <c r="I104" s="53"/>
    </row>
    <row r="105" spans="1:14" x14ac:dyDescent="0.4">
      <c r="A105" s="9">
        <v>14</v>
      </c>
      <c r="B105" s="61" t="s">
        <v>78</v>
      </c>
      <c r="C105" s="356" t="s">
        <v>41</v>
      </c>
      <c r="D105" s="357"/>
      <c r="E105" s="357"/>
      <c r="F105" s="357"/>
      <c r="G105" s="408"/>
    </row>
    <row r="106" spans="1:14" x14ac:dyDescent="0.4">
      <c r="A106" s="23"/>
      <c r="C106" s="69"/>
      <c r="D106" s="69"/>
      <c r="E106" s="69"/>
      <c r="F106" s="69"/>
      <c r="G106" s="69"/>
    </row>
    <row r="107" spans="1:14" x14ac:dyDescent="0.4">
      <c r="B107" s="409" t="s">
        <v>554</v>
      </c>
      <c r="C107" s="410"/>
      <c r="D107" s="410"/>
      <c r="E107" s="410"/>
      <c r="F107" s="410"/>
      <c r="G107" s="410"/>
      <c r="H107" s="410"/>
    </row>
  </sheetData>
  <sheetProtection password="EB7F" sheet="1" objects="1" scenarios="1"/>
  <mergeCells count="58">
    <mergeCell ref="B107:H107"/>
    <mergeCell ref="B100:G100"/>
    <mergeCell ref="B101:G101"/>
    <mergeCell ref="B102:G102"/>
    <mergeCell ref="B103:G103"/>
    <mergeCell ref="C104:G104"/>
    <mergeCell ref="C105:G105"/>
    <mergeCell ref="B74:N74"/>
    <mergeCell ref="B75:N75"/>
    <mergeCell ref="B77:G77"/>
    <mergeCell ref="B80:B84"/>
    <mergeCell ref="B85:B89"/>
    <mergeCell ref="B90:B94"/>
    <mergeCell ref="B95:B99"/>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115"/>
  <sheetViews>
    <sheetView topLeftCell="B1" workbookViewId="0">
      <selection activeCell="B75" sqref="B75:N75"/>
    </sheetView>
  </sheetViews>
  <sheetFormatPr defaultColWidth="8.84375" defaultRowHeight="13.25" x14ac:dyDescent="0.4"/>
  <cols>
    <col min="1" max="1" width="8.84375" style="8"/>
    <col min="2"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555</v>
      </c>
    </row>
    <row r="4" spans="1:5" x14ac:dyDescent="0.4">
      <c r="D4" s="5"/>
    </row>
    <row r="5" spans="1:5" ht="21" customHeight="1" x14ac:dyDescent="0.4">
      <c r="A5" s="6">
        <v>1</v>
      </c>
      <c r="B5" s="7" t="s">
        <v>3</v>
      </c>
      <c r="C5" s="356" t="s">
        <v>556</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557</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558</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501</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54">
        <v>2.9999999999999997E-4</v>
      </c>
      <c r="D22" s="447"/>
      <c r="E22" s="447"/>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x14ac:dyDescent="0.4">
      <c r="A29" s="9"/>
      <c r="B29" s="19" t="s">
        <v>24</v>
      </c>
      <c r="C29" s="21">
        <v>41695.96</v>
      </c>
      <c r="D29" s="21">
        <v>52653.75</v>
      </c>
      <c r="E29" s="21">
        <v>42859.01</v>
      </c>
      <c r="F29" s="15"/>
    </row>
    <row r="30" spans="1:14" x14ac:dyDescent="0.4">
      <c r="A30" s="9"/>
      <c r="B30" s="19" t="s">
        <v>25</v>
      </c>
      <c r="C30" s="21">
        <v>742.94</v>
      </c>
      <c r="D30" s="21">
        <v>2123.16</v>
      </c>
      <c r="E30" s="21">
        <v>1832.22</v>
      </c>
      <c r="F30" s="15"/>
    </row>
    <row r="31" spans="1:14" x14ac:dyDescent="0.4">
      <c r="A31" s="9"/>
      <c r="B31" s="19" t="s">
        <v>26</v>
      </c>
      <c r="C31" s="21">
        <v>2201.4</v>
      </c>
      <c r="D31" s="21">
        <v>2201.4</v>
      </c>
      <c r="E31" s="21">
        <v>2201.4</v>
      </c>
      <c r="F31" s="15" t="s">
        <v>693</v>
      </c>
    </row>
    <row r="32" spans="1:14" x14ac:dyDescent="0.4">
      <c r="A32" s="9"/>
      <c r="B32" s="19" t="s">
        <v>27</v>
      </c>
      <c r="C32" s="21">
        <v>4913.68</v>
      </c>
      <c r="D32" s="21">
        <v>6970.49</v>
      </c>
      <c r="E32" s="21">
        <v>8737.36</v>
      </c>
      <c r="F32" s="15"/>
    </row>
    <row r="33" spans="1:10" x14ac:dyDescent="0.4">
      <c r="A33" s="9"/>
      <c r="B33" s="363" t="s">
        <v>709</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t="s">
        <v>693</v>
      </c>
      <c r="E38" s="13"/>
      <c r="F38" s="13"/>
    </row>
    <row r="39" spans="1:10" x14ac:dyDescent="0.4">
      <c r="A39" s="9"/>
      <c r="B39" s="359" t="s">
        <v>17</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560</v>
      </c>
      <c r="D43" s="374"/>
      <c r="E43" s="375"/>
      <c r="F43" s="13"/>
    </row>
    <row r="44" spans="1:10" x14ac:dyDescent="0.4">
      <c r="A44" s="9"/>
      <c r="B44" s="17" t="s">
        <v>31</v>
      </c>
      <c r="C44" s="373" t="s">
        <v>754</v>
      </c>
      <c r="D44" s="374"/>
      <c r="E44" s="375"/>
      <c r="F44" s="13"/>
    </row>
    <row r="45" spans="1:10" x14ac:dyDescent="0.4">
      <c r="A45" s="9"/>
      <c r="B45" s="17" t="s">
        <v>32</v>
      </c>
      <c r="C45" s="373" t="s">
        <v>803</v>
      </c>
      <c r="D45" s="374"/>
      <c r="E45" s="375"/>
      <c r="F45" s="13"/>
    </row>
    <row r="46" spans="1:10" x14ac:dyDescent="0.4">
      <c r="A46" s="9"/>
      <c r="B46" s="363" t="s">
        <v>35</v>
      </c>
      <c r="C46" s="368"/>
      <c r="D46" s="368"/>
      <c r="E46" s="369"/>
      <c r="F46" s="13"/>
    </row>
    <row r="47" spans="1:10" x14ac:dyDescent="0.4">
      <c r="A47" s="2"/>
      <c r="D47" s="23"/>
      <c r="E47" s="13"/>
      <c r="F47" s="8" t="s">
        <v>693</v>
      </c>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53" x14ac:dyDescent="0.4">
      <c r="A50" s="29"/>
      <c r="B50" s="78" t="s">
        <v>307</v>
      </c>
      <c r="C50" s="78" t="s">
        <v>561</v>
      </c>
      <c r="D50" s="28"/>
      <c r="E50" s="27"/>
    </row>
    <row r="51" spans="1:14" x14ac:dyDescent="0.4">
      <c r="A51" s="31"/>
      <c r="B51" s="380" t="s">
        <v>562</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563</v>
      </c>
      <c r="D54" s="386"/>
      <c r="E54" s="387"/>
      <c r="K54" s="1"/>
    </row>
    <row r="55" spans="1:14"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x14ac:dyDescent="0.4">
      <c r="A58" s="29"/>
      <c r="B58" s="380" t="s">
        <v>564</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11"/>
      <c r="F64" s="11"/>
      <c r="G64" s="11"/>
      <c r="H64" s="11"/>
      <c r="I64" s="11"/>
      <c r="J64" s="11"/>
      <c r="K64" s="11"/>
      <c r="L64" s="11"/>
      <c r="M64" s="11"/>
      <c r="N64" s="11"/>
    </row>
    <row r="65" spans="1:14" x14ac:dyDescent="0.4">
      <c r="A65" s="9"/>
      <c r="B65" s="17" t="s">
        <v>52</v>
      </c>
      <c r="C65" s="19" t="s">
        <v>565</v>
      </c>
      <c r="D65" s="44"/>
      <c r="E65" s="44"/>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x14ac:dyDescent="0.4">
      <c r="A67" s="9"/>
      <c r="B67" s="365" t="s">
        <v>53</v>
      </c>
      <c r="C67" s="366" t="s">
        <v>566</v>
      </c>
      <c r="D67" s="366" t="s">
        <v>271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61</v>
      </c>
      <c r="C69" s="45">
        <v>48</v>
      </c>
      <c r="D69" s="46">
        <v>65.25</v>
      </c>
      <c r="E69" s="46">
        <v>50</v>
      </c>
      <c r="F69" s="46">
        <v>44</v>
      </c>
      <c r="G69" s="46">
        <v>71.8</v>
      </c>
      <c r="H69" s="45">
        <v>43.1</v>
      </c>
      <c r="I69" s="45">
        <v>27.4</v>
      </c>
      <c r="J69" s="45">
        <v>49</v>
      </c>
      <c r="K69" s="45">
        <v>24.2</v>
      </c>
      <c r="L69" s="45">
        <v>19.350000000000001</v>
      </c>
      <c r="M69" s="45">
        <v>42.75</v>
      </c>
      <c r="N69" s="45">
        <v>16.350000000000001</v>
      </c>
    </row>
    <row r="70" spans="1:14" ht="25.65" x14ac:dyDescent="0.4">
      <c r="A70" s="2"/>
      <c r="B70" s="17" t="s">
        <v>216</v>
      </c>
      <c r="C70" s="45">
        <v>33246.699999999997</v>
      </c>
      <c r="D70" s="45">
        <v>34843.51</v>
      </c>
      <c r="E70" s="45">
        <v>33835.74</v>
      </c>
      <c r="F70" s="46">
        <v>32968.68</v>
      </c>
      <c r="G70" s="46">
        <v>36443.980000000003</v>
      </c>
      <c r="H70" s="115">
        <v>29241.48</v>
      </c>
      <c r="I70" s="45">
        <v>38672.910000000003</v>
      </c>
      <c r="J70" s="45">
        <v>38989.65</v>
      </c>
      <c r="K70" s="45">
        <v>32972.559999999998</v>
      </c>
      <c r="L70" s="45">
        <v>29468.49</v>
      </c>
      <c r="M70" s="45">
        <v>42273.87</v>
      </c>
      <c r="N70" s="45">
        <v>25638.9</v>
      </c>
    </row>
    <row r="71" spans="1:14" x14ac:dyDescent="0.4">
      <c r="A71" s="2"/>
      <c r="B71" s="401" t="s">
        <v>17</v>
      </c>
      <c r="C71" s="401"/>
      <c r="D71" s="401"/>
      <c r="E71" s="401"/>
      <c r="F71" s="401"/>
      <c r="G71" s="401"/>
      <c r="H71" s="401"/>
      <c r="I71" s="401"/>
      <c r="J71" s="401"/>
      <c r="K71" s="401"/>
      <c r="L71" s="401"/>
      <c r="M71" s="401"/>
      <c r="N71" s="401"/>
    </row>
    <row r="72" spans="1:14" x14ac:dyDescent="0.4">
      <c r="A72" s="2"/>
      <c r="B72" s="359" t="s">
        <v>63</v>
      </c>
      <c r="C72" s="359"/>
      <c r="D72" s="359"/>
      <c r="E72" s="359"/>
      <c r="F72" s="359"/>
      <c r="G72" s="359"/>
      <c r="H72" s="359"/>
      <c r="I72" s="359"/>
      <c r="J72" s="359"/>
      <c r="K72" s="359"/>
      <c r="L72" s="359"/>
      <c r="M72" s="359"/>
      <c r="N72" s="359"/>
    </row>
    <row r="73" spans="1:14" s="1" customFormat="1" x14ac:dyDescent="0.4">
      <c r="B73" s="359" t="s">
        <v>64</v>
      </c>
      <c r="C73" s="359"/>
      <c r="D73" s="359"/>
      <c r="E73" s="359"/>
      <c r="F73" s="359"/>
      <c r="G73" s="359"/>
      <c r="H73" s="359"/>
      <c r="I73" s="359"/>
      <c r="J73" s="359"/>
      <c r="K73" s="359"/>
      <c r="L73" s="359"/>
      <c r="M73" s="359"/>
      <c r="N73" s="359"/>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102.5" x14ac:dyDescent="0.4">
      <c r="A79" s="2"/>
      <c r="B79" s="50" t="s">
        <v>67</v>
      </c>
      <c r="C79" s="18" t="s">
        <v>68</v>
      </c>
      <c r="D79" s="18" t="s">
        <v>69</v>
      </c>
      <c r="E79" s="18" t="s">
        <v>218</v>
      </c>
      <c r="F79" s="18" t="s">
        <v>71</v>
      </c>
      <c r="G79" s="18" t="s">
        <v>107</v>
      </c>
      <c r="H79" s="13"/>
      <c r="I79" s="13"/>
      <c r="J79" s="13"/>
      <c r="K79" s="13"/>
      <c r="L79" s="13"/>
      <c r="M79" s="13"/>
      <c r="N79" s="13"/>
    </row>
    <row r="80" spans="1:14" ht="12.7" customHeight="1" x14ac:dyDescent="0.35">
      <c r="A80" s="2"/>
      <c r="B80" s="394" t="s">
        <v>72</v>
      </c>
      <c r="C80" s="3" t="s">
        <v>567</v>
      </c>
      <c r="D80" s="65">
        <v>5.1100000000000003</v>
      </c>
      <c r="E80" s="52">
        <v>4.1399999999999997</v>
      </c>
      <c r="F80" s="20">
        <v>9.64</v>
      </c>
      <c r="G80" s="52"/>
      <c r="H80" s="53"/>
      <c r="I80" s="53"/>
      <c r="J80" s="53"/>
      <c r="K80" s="53"/>
      <c r="L80" s="53"/>
      <c r="M80" s="53"/>
      <c r="N80" s="53"/>
    </row>
    <row r="81" spans="1:14" x14ac:dyDescent="0.4">
      <c r="A81" s="2"/>
      <c r="B81" s="394"/>
      <c r="C81" s="3" t="s">
        <v>73</v>
      </c>
      <c r="D81" s="54"/>
      <c r="E81" s="52"/>
      <c r="F81" s="20"/>
      <c r="G81" s="52"/>
      <c r="H81" s="53"/>
      <c r="I81" s="53"/>
      <c r="J81" s="53"/>
      <c r="K81" s="53"/>
      <c r="L81" s="53"/>
      <c r="M81" s="53"/>
      <c r="N81" s="53"/>
    </row>
    <row r="82" spans="1:14" x14ac:dyDescent="0.4">
      <c r="A82" s="2"/>
      <c r="B82" s="394"/>
      <c r="C82" s="21" t="s">
        <v>568</v>
      </c>
      <c r="D82" s="54">
        <v>3.76</v>
      </c>
      <c r="E82" s="52">
        <v>4.83</v>
      </c>
      <c r="F82" s="20">
        <v>5.7</v>
      </c>
      <c r="G82" s="52" t="s">
        <v>805</v>
      </c>
      <c r="H82" s="53"/>
      <c r="I82" s="53"/>
      <c r="J82" s="53"/>
      <c r="K82" s="53"/>
      <c r="L82" s="53"/>
      <c r="M82" s="53"/>
      <c r="N82" s="53"/>
    </row>
    <row r="83" spans="1:14" x14ac:dyDescent="0.4">
      <c r="A83" s="2"/>
      <c r="B83" s="394"/>
      <c r="C83" s="21" t="s">
        <v>569</v>
      </c>
      <c r="D83" s="54">
        <v>12.72</v>
      </c>
      <c r="E83" s="52">
        <v>6.32</v>
      </c>
      <c r="F83" s="20">
        <v>23.12</v>
      </c>
      <c r="G83" s="52">
        <v>31.65</v>
      </c>
      <c r="H83" s="53"/>
      <c r="I83" s="53"/>
      <c r="J83" s="53"/>
      <c r="K83" s="53"/>
      <c r="L83" s="53"/>
      <c r="M83" s="53"/>
      <c r="N83" s="53"/>
    </row>
    <row r="84" spans="1:14" x14ac:dyDescent="0.4">
      <c r="A84" s="2"/>
      <c r="B84" s="394"/>
      <c r="C84" s="21" t="s">
        <v>570</v>
      </c>
      <c r="D84" s="54">
        <v>8.18</v>
      </c>
      <c r="E84" s="52">
        <v>12.09</v>
      </c>
      <c r="F84" s="20">
        <v>19.89</v>
      </c>
      <c r="G84" s="52">
        <v>25.96</v>
      </c>
      <c r="H84" s="53"/>
      <c r="I84" s="53"/>
      <c r="J84" s="53"/>
      <c r="K84" s="53"/>
      <c r="L84" s="53"/>
      <c r="M84" s="53"/>
      <c r="N84" s="53"/>
    </row>
    <row r="85" spans="1:14" x14ac:dyDescent="0.4">
      <c r="A85" s="2"/>
      <c r="B85" s="394"/>
      <c r="C85" s="21" t="s">
        <v>571</v>
      </c>
      <c r="D85" s="54">
        <v>8.6300000000000008</v>
      </c>
      <c r="E85" s="52">
        <v>11.4</v>
      </c>
      <c r="F85" s="20">
        <v>12.66</v>
      </c>
      <c r="G85" s="52">
        <v>11.76</v>
      </c>
      <c r="H85" s="53"/>
      <c r="I85" s="53"/>
      <c r="J85" s="53"/>
      <c r="K85" s="53"/>
      <c r="L85" s="53"/>
      <c r="M85" s="53"/>
      <c r="N85" s="53"/>
    </row>
    <row r="86" spans="1:14" x14ac:dyDescent="0.4">
      <c r="A86" s="2"/>
      <c r="B86" s="394"/>
      <c r="C86" s="3" t="s">
        <v>74</v>
      </c>
      <c r="D86" s="134">
        <f>SUM(D82:D85)/4</f>
        <v>8.3224999999999998</v>
      </c>
      <c r="E86" s="134">
        <f>SUM(E82:E85)/4</f>
        <v>8.66</v>
      </c>
      <c r="F86" s="134">
        <f>SUM(F82:F85)/4</f>
        <v>15.342500000000001</v>
      </c>
      <c r="G86" s="52"/>
      <c r="H86" s="53"/>
      <c r="I86" s="53"/>
      <c r="J86" s="53"/>
      <c r="K86" s="53"/>
      <c r="L86" s="53"/>
      <c r="M86" s="53"/>
      <c r="N86" s="53"/>
    </row>
    <row r="87" spans="1:14" x14ac:dyDescent="0.35">
      <c r="A87" s="2"/>
      <c r="B87" s="394" t="s">
        <v>75</v>
      </c>
      <c r="C87" s="3" t="s">
        <v>567</v>
      </c>
      <c r="D87" s="77">
        <v>7.83</v>
      </c>
      <c r="E87" s="55">
        <f>F69/E80</f>
        <v>10.628019323671499</v>
      </c>
      <c r="F87" s="101">
        <f>I69/F80</f>
        <v>2.8423236514522818</v>
      </c>
      <c r="G87" s="52"/>
      <c r="H87" s="53"/>
      <c r="I87" s="53"/>
      <c r="J87" s="53"/>
      <c r="K87" s="53"/>
      <c r="L87" s="53"/>
      <c r="M87" s="53"/>
      <c r="N87" s="53"/>
    </row>
    <row r="88" spans="1:14" x14ac:dyDescent="0.4">
      <c r="A88" s="2"/>
      <c r="B88" s="394"/>
      <c r="C88" s="3" t="s">
        <v>73</v>
      </c>
      <c r="D88" s="54"/>
      <c r="E88" s="52"/>
      <c r="F88" s="20"/>
      <c r="G88" s="52"/>
      <c r="H88" s="53"/>
      <c r="I88" s="53"/>
      <c r="J88" s="53"/>
      <c r="K88" s="53"/>
      <c r="L88" s="53"/>
      <c r="M88" s="53"/>
      <c r="N88" s="53"/>
    </row>
    <row r="89" spans="1:14" x14ac:dyDescent="0.4">
      <c r="A89" s="2"/>
      <c r="B89" s="394"/>
      <c r="C89" s="21" t="s">
        <v>568</v>
      </c>
      <c r="D89" s="54">
        <v>35.86</v>
      </c>
      <c r="E89" s="55">
        <f>80.75/E82</f>
        <v>16.718426501035196</v>
      </c>
      <c r="F89" s="101">
        <f>65.4/F82</f>
        <v>11.473684210526317</v>
      </c>
      <c r="G89" s="52" t="s">
        <v>805</v>
      </c>
      <c r="H89" s="53"/>
      <c r="I89" s="53"/>
      <c r="J89" s="53"/>
      <c r="K89" s="53"/>
      <c r="L89" s="53"/>
      <c r="M89" s="53"/>
      <c r="N89" s="53"/>
    </row>
    <row r="90" spans="1:14" x14ac:dyDescent="0.4">
      <c r="A90" s="2"/>
      <c r="B90" s="394"/>
      <c r="C90" s="21" t="s">
        <v>569</v>
      </c>
      <c r="D90" s="54">
        <v>26.53</v>
      </c>
      <c r="E90" s="55">
        <f>384.8/E83</f>
        <v>60.88607594936709</v>
      </c>
      <c r="F90" s="101">
        <f>425.6/F83</f>
        <v>18.408304498269896</v>
      </c>
      <c r="G90" s="52">
        <v>9.35</v>
      </c>
      <c r="H90" s="53"/>
      <c r="I90" s="53"/>
      <c r="J90" s="53"/>
      <c r="K90" s="53"/>
      <c r="L90" s="53"/>
      <c r="M90" s="53"/>
      <c r="N90" s="53"/>
    </row>
    <row r="91" spans="1:14" x14ac:dyDescent="0.4">
      <c r="A91" s="2"/>
      <c r="B91" s="394"/>
      <c r="C91" s="21" t="s">
        <v>570</v>
      </c>
      <c r="D91" s="54">
        <v>21.45</v>
      </c>
      <c r="E91" s="55">
        <f>130.2/E84</f>
        <v>10.769230769230768</v>
      </c>
      <c r="F91" s="101">
        <f>220.55/F84</f>
        <v>11.088486676721971</v>
      </c>
      <c r="G91" s="52">
        <v>3.14</v>
      </c>
      <c r="H91" s="53"/>
      <c r="I91" s="53"/>
      <c r="J91" s="53"/>
      <c r="K91" s="53"/>
      <c r="L91" s="53"/>
      <c r="M91" s="53"/>
      <c r="N91" s="53"/>
    </row>
    <row r="92" spans="1:14" x14ac:dyDescent="0.4">
      <c r="A92" s="2"/>
      <c r="B92" s="394"/>
      <c r="C92" s="21" t="s">
        <v>571</v>
      </c>
      <c r="D92" s="54">
        <v>58</v>
      </c>
      <c r="E92" s="55">
        <f>487.75/E85</f>
        <v>42.785087719298247</v>
      </c>
      <c r="F92" s="101">
        <f>770.95/F85</f>
        <v>60.896524486571884</v>
      </c>
      <c r="G92" s="52">
        <v>40.840000000000003</v>
      </c>
      <c r="H92" s="53"/>
      <c r="I92" s="53"/>
      <c r="J92" s="53"/>
      <c r="K92" s="53"/>
      <c r="L92" s="53"/>
      <c r="M92" s="53"/>
      <c r="N92" s="53"/>
    </row>
    <row r="93" spans="1:14" x14ac:dyDescent="0.4">
      <c r="A93" s="2"/>
      <c r="B93" s="394"/>
      <c r="C93" s="3" t="s">
        <v>74</v>
      </c>
      <c r="D93" s="134">
        <f>SUM(D89:D92)/4</f>
        <v>35.46</v>
      </c>
      <c r="E93" s="134">
        <f>SUM(E89:E92)/4</f>
        <v>32.789705234732828</v>
      </c>
      <c r="F93" s="134">
        <f>SUM(F89:F92)/4</f>
        <v>25.466749968022519</v>
      </c>
      <c r="G93" s="52"/>
      <c r="H93" s="53"/>
      <c r="I93" s="53"/>
      <c r="J93" s="53"/>
      <c r="K93" s="53"/>
      <c r="L93" s="53"/>
      <c r="M93" s="53"/>
      <c r="N93" s="53"/>
    </row>
    <row r="94" spans="1:14" x14ac:dyDescent="0.35">
      <c r="A94" s="2"/>
      <c r="B94" s="394" t="s">
        <v>76</v>
      </c>
      <c r="C94" s="3" t="s">
        <v>567</v>
      </c>
      <c r="D94" s="65">
        <v>19.18</v>
      </c>
      <c r="E94" s="145">
        <f>742.94/7115.08*100</f>
        <v>10.44176593938508</v>
      </c>
      <c r="F94" s="101">
        <f>2123.16/9171.89*100</f>
        <v>23.148554987031027</v>
      </c>
      <c r="G94" s="52"/>
      <c r="H94" s="53"/>
      <c r="I94" s="53"/>
      <c r="J94" s="53"/>
      <c r="K94" s="53"/>
      <c r="L94" s="53"/>
      <c r="M94" s="53"/>
      <c r="N94" s="53"/>
    </row>
    <row r="95" spans="1:14" x14ac:dyDescent="0.4">
      <c r="A95" s="2"/>
      <c r="B95" s="394"/>
      <c r="C95" s="3" t="s">
        <v>73</v>
      </c>
      <c r="D95" s="54"/>
      <c r="E95" s="52"/>
      <c r="F95" s="20"/>
      <c r="G95" s="52"/>
      <c r="H95" s="53"/>
      <c r="I95" s="53"/>
      <c r="J95" s="53"/>
      <c r="K95" s="53"/>
      <c r="L95" s="53"/>
      <c r="M95" s="53"/>
      <c r="N95" s="53"/>
    </row>
    <row r="96" spans="1:14" x14ac:dyDescent="0.4">
      <c r="A96" s="2"/>
      <c r="B96" s="394"/>
      <c r="C96" s="21" t="s">
        <v>568</v>
      </c>
      <c r="D96" s="54">
        <v>4.09</v>
      </c>
      <c r="E96" s="145">
        <f>626.2/12725.8*100</f>
        <v>4.9207122538465171</v>
      </c>
      <c r="F96" s="101">
        <f>735.42/13462.04*100</f>
        <v>5.4629164673407589</v>
      </c>
      <c r="G96" s="52" t="s">
        <v>805</v>
      </c>
      <c r="H96" s="53"/>
      <c r="I96" s="53"/>
      <c r="J96" s="53"/>
      <c r="K96" s="53"/>
      <c r="L96" s="53"/>
      <c r="M96" s="53"/>
      <c r="N96" s="53"/>
    </row>
    <row r="97" spans="1:14" x14ac:dyDescent="0.4">
      <c r="A97" s="2"/>
      <c r="B97" s="394"/>
      <c r="C97" s="21" t="s">
        <v>569</v>
      </c>
      <c r="D97" s="54">
        <v>20.83</v>
      </c>
      <c r="E97" s="145">
        <f>1445.56/6045.32*100</f>
        <v>23.91205097496907</v>
      </c>
      <c r="F97" s="101">
        <f>1818.71/7788.93*100</f>
        <v>23.349933816326505</v>
      </c>
      <c r="G97" s="52">
        <v>22.6</v>
      </c>
      <c r="H97" s="53"/>
      <c r="I97" s="53"/>
      <c r="J97" s="53"/>
      <c r="K97" s="53"/>
      <c r="L97" s="53"/>
      <c r="M97" s="53"/>
      <c r="N97" s="53"/>
    </row>
    <row r="98" spans="1:14" x14ac:dyDescent="0.4">
      <c r="A98" s="2"/>
      <c r="B98" s="394"/>
      <c r="C98" s="21" t="s">
        <v>570</v>
      </c>
      <c r="D98" s="54">
        <v>13.22</v>
      </c>
      <c r="E98" s="145">
        <f>4194.46/33651.58*100</f>
        <v>12.464377601289449</v>
      </c>
      <c r="F98" s="101">
        <f>6899.83/42532.14*100</f>
        <v>16.222625995306139</v>
      </c>
      <c r="G98" s="52">
        <v>2.6</v>
      </c>
      <c r="H98" s="53"/>
      <c r="I98" s="53"/>
      <c r="J98" s="53"/>
      <c r="K98" s="53"/>
      <c r="L98" s="53"/>
      <c r="M98" s="53"/>
      <c r="N98" s="53"/>
    </row>
    <row r="99" spans="1:14" x14ac:dyDescent="0.4">
      <c r="A99" s="2"/>
      <c r="B99" s="394"/>
      <c r="C99" s="21" t="s">
        <v>571</v>
      </c>
      <c r="D99" s="54">
        <v>15.22</v>
      </c>
      <c r="E99" s="145">
        <f>1014.7/3739.15*100</f>
        <v>27.137183584504498</v>
      </c>
      <c r="F99" s="101">
        <f>791.52/4242.53*100</f>
        <v>18.656792055683756</v>
      </c>
      <c r="G99" s="52">
        <v>17.29</v>
      </c>
      <c r="H99" s="53"/>
      <c r="I99" s="53"/>
      <c r="J99" s="53"/>
      <c r="K99" s="53"/>
      <c r="L99" s="53"/>
      <c r="M99" s="53"/>
      <c r="N99" s="53"/>
    </row>
    <row r="100" spans="1:14" x14ac:dyDescent="0.4">
      <c r="A100" s="2"/>
      <c r="B100" s="394"/>
      <c r="C100" s="3" t="s">
        <v>74</v>
      </c>
      <c r="D100" s="134">
        <f>SUM(D96:D99)/4</f>
        <v>13.34</v>
      </c>
      <c r="E100" s="134">
        <f>SUM(E96:E99)/4</f>
        <v>17.108581103652384</v>
      </c>
      <c r="F100" s="134">
        <f>SUM(F96:F99)/4</f>
        <v>15.923067083664289</v>
      </c>
      <c r="G100" s="52"/>
      <c r="H100" s="53"/>
      <c r="I100" s="53"/>
      <c r="J100" s="53"/>
      <c r="K100" s="57"/>
      <c r="L100" s="53"/>
      <c r="M100" s="53"/>
      <c r="N100" s="53"/>
    </row>
    <row r="101" spans="1:14" x14ac:dyDescent="0.35">
      <c r="A101" s="2"/>
      <c r="B101" s="394" t="s">
        <v>77</v>
      </c>
      <c r="C101" s="3" t="s">
        <v>567</v>
      </c>
      <c r="D101" s="65">
        <v>38.299999999999997</v>
      </c>
      <c r="E101" s="55">
        <f>7115.08/220.14</f>
        <v>32.320705005905332</v>
      </c>
      <c r="F101" s="101">
        <f>9171.89*100000/22014000</f>
        <v>41.663895702734621</v>
      </c>
      <c r="G101" s="52"/>
      <c r="H101" s="53"/>
      <c r="I101" s="53"/>
      <c r="J101" s="53"/>
      <c r="K101" s="53"/>
      <c r="L101" s="53"/>
      <c r="M101" s="53"/>
      <c r="N101" s="53"/>
    </row>
    <row r="102" spans="1:14" x14ac:dyDescent="0.4">
      <c r="A102" s="2"/>
      <c r="B102" s="394"/>
      <c r="C102" s="3" t="s">
        <v>73</v>
      </c>
      <c r="D102" s="54"/>
      <c r="E102" s="52"/>
      <c r="F102" s="20"/>
      <c r="G102" s="52"/>
      <c r="H102" s="53"/>
      <c r="I102" s="53"/>
      <c r="J102" s="53"/>
      <c r="K102" s="53"/>
      <c r="L102" s="53"/>
      <c r="M102" s="53"/>
      <c r="N102" s="53"/>
    </row>
    <row r="103" spans="1:14" x14ac:dyDescent="0.4">
      <c r="A103" s="2"/>
      <c r="B103" s="411"/>
      <c r="C103" s="21" t="s">
        <v>568</v>
      </c>
      <c r="D103" s="54">
        <v>95.07</v>
      </c>
      <c r="E103" s="55">
        <f>12725.8/129.27</f>
        <v>98.443567726463982</v>
      </c>
      <c r="F103" s="101">
        <f>13462.04*100000/12927800</f>
        <v>104.13248967341698</v>
      </c>
      <c r="G103" s="52" t="s">
        <v>805</v>
      </c>
      <c r="H103" s="53" t="s">
        <v>693</v>
      </c>
      <c r="I103" s="53"/>
      <c r="J103" s="53"/>
      <c r="K103" s="53"/>
      <c r="L103" s="53"/>
      <c r="M103" s="53"/>
      <c r="N103" s="53"/>
    </row>
    <row r="104" spans="1:14" x14ac:dyDescent="0.4">
      <c r="A104" s="2"/>
      <c r="B104" s="411"/>
      <c r="C104" s="21" t="s">
        <v>569</v>
      </c>
      <c r="D104" s="54">
        <v>60.42</v>
      </c>
      <c r="E104" s="55">
        <f>6045.32/78.36</f>
        <v>77.148034711587542</v>
      </c>
      <c r="F104" s="101">
        <f>(7788.93*1000000)/(157.85*100000)</f>
        <v>493.43870763382961</v>
      </c>
      <c r="G104" s="52">
        <v>166.95</v>
      </c>
      <c r="H104" s="53"/>
      <c r="I104" s="53"/>
      <c r="J104" s="53"/>
      <c r="K104" s="53"/>
      <c r="L104" s="53"/>
      <c r="M104" s="53"/>
      <c r="N104" s="53"/>
    </row>
    <row r="105" spans="1:14" x14ac:dyDescent="0.4">
      <c r="A105" s="2"/>
      <c r="B105" s="411"/>
      <c r="C105" s="21" t="s">
        <v>570</v>
      </c>
      <c r="D105" s="54">
        <v>61.89</v>
      </c>
      <c r="E105" s="55">
        <f>33651.58/346.98</f>
        <v>96.984206582511959</v>
      </c>
      <c r="F105" s="101">
        <f>42532.14*100000/34698300</f>
        <v>122.57701385946862</v>
      </c>
      <c r="G105" s="52">
        <v>271.14</v>
      </c>
      <c r="H105" s="53"/>
      <c r="I105" s="53"/>
      <c r="J105" s="53"/>
      <c r="K105" s="53"/>
      <c r="L105" s="53"/>
      <c r="M105" s="53"/>
      <c r="N105" s="53"/>
    </row>
    <row r="106" spans="1:14" x14ac:dyDescent="0.4">
      <c r="A106" s="2"/>
      <c r="B106" s="411"/>
      <c r="C106" s="21" t="s">
        <v>571</v>
      </c>
      <c r="D106" s="54">
        <v>53.02</v>
      </c>
      <c r="E106" s="55">
        <f>3739.15/62.51</f>
        <v>59.816829307310833</v>
      </c>
      <c r="F106" s="101">
        <f>4242.53*100000/625500</f>
        <v>678.26219024780175</v>
      </c>
      <c r="G106" s="52">
        <v>68.89</v>
      </c>
      <c r="H106" s="53"/>
      <c r="I106" s="53"/>
      <c r="J106" s="53"/>
      <c r="K106" s="53"/>
      <c r="L106" s="53"/>
      <c r="M106" s="53"/>
      <c r="N106" s="53"/>
    </row>
    <row r="107" spans="1:14" x14ac:dyDescent="0.4">
      <c r="A107" s="2"/>
      <c r="B107" s="411"/>
      <c r="C107" s="3" t="s">
        <v>74</v>
      </c>
      <c r="D107" s="134">
        <f>SUM(D103:D106)/4</f>
        <v>67.599999999999994</v>
      </c>
      <c r="E107" s="134">
        <f>SUM(E103:E106)/4</f>
        <v>83.098159581968588</v>
      </c>
      <c r="F107" s="134">
        <f>SUM(F103:F106)/4</f>
        <v>349.60260035362921</v>
      </c>
      <c r="G107" s="52"/>
      <c r="H107" s="53"/>
      <c r="I107" s="53"/>
      <c r="J107" s="53"/>
      <c r="K107" s="53"/>
      <c r="L107" s="53"/>
      <c r="M107" s="53"/>
      <c r="N107" s="53"/>
    </row>
    <row r="108" spans="1:14" s="1" customFormat="1" x14ac:dyDescent="0.4">
      <c r="B108" s="412"/>
      <c r="C108" s="413"/>
      <c r="D108" s="413"/>
      <c r="E108" s="413"/>
      <c r="F108" s="413"/>
      <c r="G108" s="414"/>
    </row>
    <row r="109" spans="1:14" x14ac:dyDescent="0.4">
      <c r="A109" s="2"/>
      <c r="B109" s="415" t="s">
        <v>572</v>
      </c>
      <c r="C109" s="416"/>
      <c r="D109" s="416"/>
      <c r="E109" s="416"/>
      <c r="F109" s="416"/>
      <c r="G109" s="417"/>
      <c r="H109" s="53"/>
      <c r="I109" s="53"/>
      <c r="J109" s="53"/>
      <c r="K109" s="53"/>
      <c r="L109" s="53"/>
      <c r="M109" s="53"/>
      <c r="N109" s="53"/>
    </row>
    <row r="110" spans="1:14" x14ac:dyDescent="0.4">
      <c r="A110" s="2"/>
      <c r="B110" s="418" t="s">
        <v>85</v>
      </c>
      <c r="C110" s="419"/>
      <c r="D110" s="419"/>
      <c r="E110" s="419"/>
      <c r="F110" s="419"/>
      <c r="G110" s="420"/>
      <c r="H110" s="53"/>
      <c r="I110" s="53"/>
      <c r="J110" s="53"/>
      <c r="K110" s="53"/>
      <c r="L110" s="53"/>
      <c r="M110" s="53"/>
      <c r="N110" s="53"/>
    </row>
    <row r="111" spans="1:14" x14ac:dyDescent="0.4">
      <c r="A111" s="2"/>
      <c r="B111" s="363"/>
      <c r="C111" s="368"/>
      <c r="D111" s="368"/>
      <c r="E111" s="368"/>
      <c r="F111" s="368"/>
      <c r="G111" s="369"/>
      <c r="H111" s="53"/>
      <c r="I111" s="53"/>
      <c r="J111" s="53"/>
      <c r="K111" s="53"/>
      <c r="L111" s="53"/>
      <c r="M111" s="53"/>
      <c r="N111" s="53"/>
    </row>
    <row r="112" spans="1:14" x14ac:dyDescent="0.4">
      <c r="C112" s="407"/>
      <c r="D112" s="407"/>
      <c r="E112" s="407"/>
      <c r="F112" s="407"/>
      <c r="G112" s="407"/>
      <c r="H112" s="53"/>
      <c r="I112" s="53"/>
    </row>
    <row r="113" spans="1:8" x14ac:dyDescent="0.4">
      <c r="A113" s="9">
        <v>14</v>
      </c>
      <c r="B113" s="61" t="s">
        <v>78</v>
      </c>
      <c r="C113" s="356" t="s">
        <v>41</v>
      </c>
      <c r="D113" s="357"/>
      <c r="E113" s="357"/>
      <c r="F113" s="357"/>
      <c r="G113" s="408"/>
    </row>
    <row r="114" spans="1:8" x14ac:dyDescent="0.4">
      <c r="A114" s="23"/>
      <c r="C114" s="69"/>
      <c r="D114" s="69"/>
      <c r="E114" s="69"/>
      <c r="F114" s="69"/>
      <c r="G114" s="69"/>
    </row>
    <row r="115" spans="1:8" x14ac:dyDescent="0.4">
      <c r="B115" s="409" t="s">
        <v>573</v>
      </c>
      <c r="C115" s="410"/>
      <c r="D115" s="410"/>
      <c r="E115" s="410"/>
      <c r="F115" s="410"/>
      <c r="G115" s="410"/>
      <c r="H115" s="410"/>
    </row>
  </sheetData>
  <sheetProtection password="EB7F" sheet="1" objects="1" scenarios="1"/>
  <mergeCells count="58">
    <mergeCell ref="B115:H115"/>
    <mergeCell ref="B108:G108"/>
    <mergeCell ref="B109:G109"/>
    <mergeCell ref="B110:G110"/>
    <mergeCell ref="B111:G111"/>
    <mergeCell ref="C112:G112"/>
    <mergeCell ref="C113:G113"/>
    <mergeCell ref="B74:N74"/>
    <mergeCell ref="B75:N75"/>
    <mergeCell ref="B77:G77"/>
    <mergeCell ref="B80:B86"/>
    <mergeCell ref="B87:B93"/>
    <mergeCell ref="B94:B100"/>
    <mergeCell ref="B101:B107"/>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pageSetup paperSize="9"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9"/>
  <sheetViews>
    <sheetView topLeftCell="A88" workbookViewId="0">
      <selection activeCell="B105" sqref="B105:G105"/>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140</v>
      </c>
    </row>
    <row r="4" spans="1:5" x14ac:dyDescent="0.4">
      <c r="D4" s="5"/>
    </row>
    <row r="5" spans="1:5" ht="21" customHeight="1" x14ac:dyDescent="0.4">
      <c r="A5" s="6">
        <v>1</v>
      </c>
      <c r="B5" s="7" t="s">
        <v>3</v>
      </c>
      <c r="C5" s="356" t="s">
        <v>4</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141</v>
      </c>
      <c r="D8" s="5"/>
    </row>
    <row r="9" spans="1:5" ht="16.25" customHeight="1" x14ac:dyDescent="0.4">
      <c r="A9" s="9"/>
      <c r="B9" s="359" t="s">
        <v>5</v>
      </c>
      <c r="C9" s="359"/>
      <c r="D9" s="359"/>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142</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93</v>
      </c>
      <c r="C19" s="367" t="s">
        <v>13</v>
      </c>
      <c r="D19" s="367"/>
      <c r="E19" s="367"/>
      <c r="F19" s="15"/>
      <c r="G19" s="13"/>
      <c r="I19" s="13"/>
      <c r="J19" s="13"/>
      <c r="K19" s="13"/>
      <c r="L19" s="13"/>
      <c r="M19" s="13"/>
      <c r="N19" s="13"/>
    </row>
    <row r="20" spans="1:14" x14ac:dyDescent="0.4">
      <c r="A20" s="9"/>
      <c r="B20" s="14" t="s">
        <v>14</v>
      </c>
      <c r="C20" s="367" t="s">
        <v>13</v>
      </c>
      <c r="D20" s="367"/>
      <c r="E20" s="367"/>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87</v>
      </c>
      <c r="D28" s="18" t="s">
        <v>22</v>
      </c>
      <c r="E28" s="18" t="s">
        <v>23</v>
      </c>
      <c r="F28" s="15"/>
    </row>
    <row r="29" spans="1:14" ht="12.7" customHeight="1" x14ac:dyDescent="0.4">
      <c r="A29" s="9"/>
      <c r="B29" s="19" t="s">
        <v>24</v>
      </c>
      <c r="C29" s="20">
        <v>8526.26</v>
      </c>
      <c r="D29" s="20">
        <v>11502.86</v>
      </c>
      <c r="E29" s="20">
        <v>5653.35</v>
      </c>
    </row>
    <row r="30" spans="1:14" x14ac:dyDescent="0.4">
      <c r="A30" s="9"/>
      <c r="B30" s="19" t="s">
        <v>25</v>
      </c>
      <c r="C30" s="20">
        <v>138.76</v>
      </c>
      <c r="D30" s="20">
        <v>326.8</v>
      </c>
      <c r="E30" s="20">
        <v>290.45</v>
      </c>
    </row>
    <row r="31" spans="1:14" x14ac:dyDescent="0.4">
      <c r="A31" s="9"/>
      <c r="B31" s="19" t="s">
        <v>26</v>
      </c>
      <c r="C31" s="20">
        <v>921.5</v>
      </c>
      <c r="D31" s="20">
        <v>921.5</v>
      </c>
      <c r="E31" s="20">
        <v>1000.5</v>
      </c>
    </row>
    <row r="32" spans="1:14" x14ac:dyDescent="0.4">
      <c r="A32" s="9"/>
      <c r="B32" s="19" t="s">
        <v>27</v>
      </c>
      <c r="C32" s="20">
        <v>272.04000000000002</v>
      </c>
      <c r="D32" s="20">
        <v>598.08000000000004</v>
      </c>
      <c r="E32" s="20">
        <v>1798.28</v>
      </c>
    </row>
    <row r="33" spans="1:10" x14ac:dyDescent="0.4">
      <c r="A33" s="9"/>
      <c r="B33" s="363" t="s">
        <v>143</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144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145</v>
      </c>
      <c r="D43" s="374"/>
      <c r="E43" s="375"/>
      <c r="F43" s="13"/>
    </row>
    <row r="44" spans="1:10" x14ac:dyDescent="0.4">
      <c r="A44" s="9"/>
      <c r="B44" s="17" t="s">
        <v>31</v>
      </c>
      <c r="C44" s="373" t="s">
        <v>13</v>
      </c>
      <c r="D44" s="374"/>
      <c r="E44" s="375"/>
      <c r="F44" s="13"/>
    </row>
    <row r="45" spans="1:10" x14ac:dyDescent="0.4">
      <c r="A45" s="9"/>
      <c r="B45" s="17" t="s">
        <v>32</v>
      </c>
      <c r="C45" s="373" t="s">
        <v>13</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40</v>
      </c>
    </row>
    <row r="50" spans="1:14" ht="26.5" x14ac:dyDescent="0.4">
      <c r="A50" s="29"/>
      <c r="B50" s="30" t="s">
        <v>146</v>
      </c>
      <c r="C50" s="30" t="s">
        <v>147</v>
      </c>
      <c r="D50" s="78" t="s">
        <v>148</v>
      </c>
      <c r="E50" s="4" t="s">
        <v>41</v>
      </c>
    </row>
    <row r="51" spans="1:14" x14ac:dyDescent="0.4">
      <c r="A51" s="31"/>
      <c r="B51" s="432" t="s">
        <v>149</v>
      </c>
      <c r="C51" s="433"/>
      <c r="D51" s="433"/>
      <c r="E51" s="434"/>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35">
      <c r="A54" s="29"/>
      <c r="B54" s="383" t="s">
        <v>43</v>
      </c>
      <c r="C54" s="426" t="s">
        <v>150</v>
      </c>
      <c r="D54" s="427"/>
      <c r="E54" s="428"/>
      <c r="K54" s="1"/>
    </row>
    <row r="55" spans="1:14" x14ac:dyDescent="0.35">
      <c r="A55" s="29"/>
      <c r="B55" s="384"/>
      <c r="C55" s="426" t="s">
        <v>151</v>
      </c>
      <c r="D55" s="427"/>
      <c r="E55" s="428"/>
      <c r="K55" s="1"/>
    </row>
    <row r="56" spans="1:14" x14ac:dyDescent="0.4">
      <c r="A56" s="24"/>
      <c r="B56" s="33" t="s">
        <v>44</v>
      </c>
      <c r="C56" s="429" t="s">
        <v>152</v>
      </c>
      <c r="D56" s="430"/>
      <c r="E56" s="431"/>
    </row>
    <row r="57" spans="1:14" x14ac:dyDescent="0.4">
      <c r="A57" s="29"/>
      <c r="B57" s="33" t="s">
        <v>45</v>
      </c>
      <c r="C57" s="391" t="s">
        <v>46</v>
      </c>
      <c r="D57" s="391"/>
      <c r="E57" s="391"/>
      <c r="K57" s="34"/>
    </row>
    <row r="58" spans="1:14" x14ac:dyDescent="0.4">
      <c r="A58" s="29"/>
      <c r="B58" s="432"/>
      <c r="C58" s="433"/>
      <c r="D58" s="433"/>
      <c r="E58" s="434"/>
      <c r="K58" s="34"/>
    </row>
    <row r="59" spans="1:14" s="63" customFormat="1" x14ac:dyDescent="0.35">
      <c r="A59" s="35" t="s">
        <v>47</v>
      </c>
      <c r="B59" s="392" t="s">
        <v>48</v>
      </c>
      <c r="C59" s="392"/>
      <c r="D59" s="392"/>
      <c r="E59" s="392"/>
    </row>
    <row r="60" spans="1:14" x14ac:dyDescent="0.4">
      <c r="A60" s="36"/>
      <c r="B60" s="2"/>
      <c r="C60" s="37"/>
      <c r="D60" s="38"/>
      <c r="E60" s="39"/>
      <c r="F60" s="34"/>
      <c r="G60" s="34"/>
      <c r="H60" s="34"/>
      <c r="I60" s="34"/>
      <c r="J60" s="34"/>
      <c r="K60" s="34"/>
      <c r="L60" s="34"/>
    </row>
    <row r="61" spans="1:14" x14ac:dyDescent="0.4">
      <c r="A61" s="40"/>
      <c r="B61" s="41"/>
      <c r="C61" s="42"/>
      <c r="D61" s="42"/>
      <c r="E61" s="42"/>
      <c r="F61" s="42"/>
    </row>
    <row r="62" spans="1:14" x14ac:dyDescent="0.4">
      <c r="A62" s="9">
        <v>11</v>
      </c>
      <c r="B62" s="3" t="s">
        <v>49</v>
      </c>
      <c r="C62" s="393" t="s">
        <v>50</v>
      </c>
      <c r="D62" s="393"/>
      <c r="E62" s="393"/>
      <c r="F62" s="11"/>
      <c r="G62" s="11"/>
      <c r="H62" s="43"/>
      <c r="I62" s="11"/>
      <c r="J62" s="11"/>
    </row>
    <row r="63" spans="1:14" x14ac:dyDescent="0.4">
      <c r="A63" s="9"/>
      <c r="B63" s="15"/>
      <c r="C63" s="15"/>
      <c r="D63" s="15"/>
      <c r="E63" s="15"/>
      <c r="F63" s="15"/>
      <c r="G63" s="15"/>
      <c r="H63" s="44"/>
      <c r="I63" s="44"/>
      <c r="J63" s="15"/>
    </row>
    <row r="64" spans="1:14" x14ac:dyDescent="0.4">
      <c r="A64" s="9">
        <v>12</v>
      </c>
      <c r="B64" s="11" t="s">
        <v>51</v>
      </c>
      <c r="C64" s="11"/>
      <c r="D64" s="11"/>
      <c r="E64" s="11"/>
      <c r="F64" s="11"/>
      <c r="G64" s="11"/>
      <c r="H64" s="11"/>
      <c r="I64" s="11"/>
      <c r="J64" s="11"/>
      <c r="K64" s="11"/>
      <c r="L64" s="11"/>
      <c r="M64" s="11"/>
      <c r="N64" s="11"/>
    </row>
    <row r="65" spans="1:14" x14ac:dyDescent="0.4">
      <c r="A65" s="9"/>
      <c r="B65" s="11"/>
      <c r="C65" s="11"/>
      <c r="D65" s="11"/>
      <c r="E65" s="11"/>
      <c r="F65" s="11"/>
      <c r="G65" s="11"/>
      <c r="H65" s="11"/>
      <c r="I65" s="11"/>
      <c r="J65" s="11"/>
      <c r="K65" s="11"/>
      <c r="L65" s="11"/>
      <c r="M65" s="11"/>
      <c r="N65" s="11"/>
    </row>
    <row r="66" spans="1:14" x14ac:dyDescent="0.4">
      <c r="A66" s="9"/>
      <c r="B66" s="17" t="s">
        <v>52</v>
      </c>
      <c r="C66" s="19" t="s">
        <v>153</v>
      </c>
      <c r="D66" s="15"/>
      <c r="E66" s="15"/>
      <c r="F66" s="44"/>
      <c r="G66" s="44"/>
      <c r="H66" s="15"/>
      <c r="I66" s="15"/>
      <c r="J66" s="15"/>
      <c r="K66" s="15"/>
      <c r="L66" s="15"/>
      <c r="M66" s="15"/>
      <c r="N66" s="15"/>
    </row>
    <row r="67" spans="1:14" x14ac:dyDescent="0.4">
      <c r="A67" s="9"/>
      <c r="B67" s="15"/>
      <c r="C67" s="15"/>
      <c r="D67" s="15"/>
      <c r="E67" s="15"/>
      <c r="F67" s="15"/>
      <c r="G67" s="15"/>
      <c r="H67" s="15"/>
      <c r="I67" s="15"/>
      <c r="J67" s="15"/>
      <c r="K67" s="15"/>
      <c r="L67" s="15"/>
      <c r="M67" s="15"/>
      <c r="N67" s="15"/>
    </row>
    <row r="68" spans="1:14" x14ac:dyDescent="0.4">
      <c r="A68" s="9"/>
      <c r="B68" s="365" t="s">
        <v>53</v>
      </c>
      <c r="C68" s="366" t="s">
        <v>154</v>
      </c>
      <c r="D68" s="366" t="s">
        <v>155</v>
      </c>
      <c r="E68" s="403" t="s">
        <v>156</v>
      </c>
      <c r="F68" s="395" t="s">
        <v>54</v>
      </c>
      <c r="G68" s="396"/>
      <c r="H68" s="397"/>
      <c r="I68" s="398" t="s">
        <v>55</v>
      </c>
      <c r="J68" s="398"/>
      <c r="K68" s="398"/>
      <c r="L68" s="398" t="s">
        <v>56</v>
      </c>
      <c r="M68" s="398"/>
      <c r="N68" s="398"/>
    </row>
    <row r="69" spans="1:14" ht="38.450000000000003" x14ac:dyDescent="0.4">
      <c r="A69" s="2"/>
      <c r="B69" s="365"/>
      <c r="C69" s="402"/>
      <c r="D69" s="402"/>
      <c r="E69" s="404"/>
      <c r="F69" s="17" t="s">
        <v>57</v>
      </c>
      <c r="G69" s="17" t="s">
        <v>58</v>
      </c>
      <c r="H69" s="17" t="s">
        <v>59</v>
      </c>
      <c r="I69" s="17" t="s">
        <v>60</v>
      </c>
      <c r="J69" s="17" t="s">
        <v>58</v>
      </c>
      <c r="K69" s="17" t="s">
        <v>59</v>
      </c>
      <c r="L69" s="17" t="s">
        <v>60</v>
      </c>
      <c r="M69" s="17" t="s">
        <v>58</v>
      </c>
      <c r="N69" s="17" t="s">
        <v>59</v>
      </c>
    </row>
    <row r="70" spans="1:14" x14ac:dyDescent="0.4">
      <c r="A70" s="2"/>
      <c r="B70" s="17" t="s">
        <v>61</v>
      </c>
      <c r="C70" s="45">
        <v>14.7</v>
      </c>
      <c r="D70" s="46">
        <v>24.2</v>
      </c>
      <c r="E70" s="46">
        <v>26.1</v>
      </c>
      <c r="F70" s="46">
        <v>22</v>
      </c>
      <c r="G70" s="46">
        <v>27.6</v>
      </c>
      <c r="H70" s="45">
        <v>14.25</v>
      </c>
      <c r="I70" s="45">
        <v>112.95</v>
      </c>
      <c r="J70" s="45">
        <v>112.95</v>
      </c>
      <c r="K70" s="45">
        <v>21.5</v>
      </c>
      <c r="L70" s="45">
        <v>182.25</v>
      </c>
      <c r="M70" s="45">
        <v>269.89999999999998</v>
      </c>
      <c r="N70" s="45">
        <v>118</v>
      </c>
    </row>
    <row r="71" spans="1:14" ht="25.65" x14ac:dyDescent="0.35">
      <c r="A71" s="2"/>
      <c r="B71" s="17" t="s">
        <v>62</v>
      </c>
      <c r="C71" s="47">
        <v>27010.14</v>
      </c>
      <c r="D71" s="47">
        <v>25610.53</v>
      </c>
      <c r="E71" s="64">
        <v>24682.03</v>
      </c>
      <c r="F71" s="45">
        <v>25341.86</v>
      </c>
      <c r="G71" s="45">
        <v>29094.61</v>
      </c>
      <c r="H71" s="45">
        <v>22494.61</v>
      </c>
      <c r="I71" s="45">
        <v>29620.5</v>
      </c>
      <c r="J71" s="45">
        <v>29620.5</v>
      </c>
      <c r="K71" s="45">
        <v>25262.21</v>
      </c>
      <c r="L71" s="46">
        <v>32968.68</v>
      </c>
      <c r="M71" s="46">
        <v>36443.980000000003</v>
      </c>
      <c r="N71" s="48">
        <v>29241.48</v>
      </c>
    </row>
    <row r="72" spans="1:14" x14ac:dyDescent="0.35">
      <c r="A72" s="2"/>
      <c r="B72" s="22" t="s">
        <v>157</v>
      </c>
      <c r="C72" s="47">
        <v>789.26</v>
      </c>
      <c r="D72" s="47">
        <v>759.83</v>
      </c>
      <c r="E72" s="47">
        <v>790.51</v>
      </c>
      <c r="F72" s="45">
        <v>767.86</v>
      </c>
      <c r="G72" s="45">
        <v>948</v>
      </c>
      <c r="H72" s="45">
        <v>731.23</v>
      </c>
      <c r="I72" s="46">
        <v>1288.8800000000001</v>
      </c>
      <c r="J72" s="46">
        <v>1288.8800000000001</v>
      </c>
      <c r="K72" s="45">
        <v>824.79</v>
      </c>
      <c r="L72" s="46" t="s">
        <v>41</v>
      </c>
      <c r="M72" s="46" t="s">
        <v>41</v>
      </c>
      <c r="N72" s="46" t="s">
        <v>41</v>
      </c>
    </row>
    <row r="73" spans="1:14" x14ac:dyDescent="0.4">
      <c r="A73" s="2"/>
      <c r="B73" s="399" t="s">
        <v>158</v>
      </c>
      <c r="C73" s="399"/>
      <c r="D73" s="399"/>
      <c r="E73" s="399"/>
      <c r="F73" s="399"/>
      <c r="G73" s="399"/>
      <c r="H73" s="399"/>
      <c r="I73" s="399"/>
      <c r="J73" s="399"/>
      <c r="K73" s="399"/>
      <c r="L73" s="399"/>
      <c r="M73" s="399"/>
      <c r="N73" s="399"/>
    </row>
    <row r="74" spans="1:14" x14ac:dyDescent="0.4">
      <c r="A74" s="2"/>
      <c r="B74" s="401" t="s">
        <v>17</v>
      </c>
      <c r="C74" s="401"/>
      <c r="D74" s="401"/>
      <c r="E74" s="401"/>
      <c r="F74" s="401"/>
      <c r="G74" s="401"/>
      <c r="H74" s="401"/>
      <c r="I74" s="401"/>
      <c r="J74" s="401"/>
      <c r="K74" s="401"/>
      <c r="L74" s="401"/>
      <c r="M74" s="401"/>
      <c r="N74" s="401"/>
    </row>
    <row r="75" spans="1:14" x14ac:dyDescent="0.4">
      <c r="A75" s="2"/>
      <c r="B75" s="359" t="s">
        <v>63</v>
      </c>
      <c r="C75" s="359"/>
      <c r="D75" s="359"/>
      <c r="E75" s="359"/>
      <c r="F75" s="359"/>
      <c r="G75" s="359"/>
      <c r="H75" s="359"/>
      <c r="I75" s="359"/>
      <c r="J75" s="359"/>
      <c r="K75" s="359"/>
      <c r="L75" s="359"/>
      <c r="M75" s="359"/>
      <c r="N75" s="359"/>
    </row>
    <row r="76" spans="1:14" s="1" customFormat="1" x14ac:dyDescent="0.4">
      <c r="B76" s="359" t="s">
        <v>64</v>
      </c>
      <c r="C76" s="359"/>
      <c r="D76" s="359"/>
      <c r="E76" s="359"/>
      <c r="F76" s="359"/>
      <c r="G76" s="359"/>
      <c r="H76" s="359"/>
      <c r="I76" s="359"/>
      <c r="J76" s="359"/>
      <c r="K76" s="359"/>
      <c r="L76" s="359"/>
      <c r="M76" s="359"/>
      <c r="N76" s="359"/>
    </row>
    <row r="77" spans="1:14" x14ac:dyDescent="0.4">
      <c r="A77" s="2"/>
      <c r="B77" s="359" t="s">
        <v>80</v>
      </c>
      <c r="C77" s="359"/>
      <c r="D77" s="359"/>
      <c r="E77" s="359"/>
      <c r="F77" s="359"/>
      <c r="G77" s="359"/>
      <c r="H77" s="359"/>
      <c r="I77" s="359"/>
      <c r="J77" s="359"/>
      <c r="K77" s="359"/>
      <c r="L77" s="359"/>
      <c r="M77" s="359"/>
      <c r="N77" s="359"/>
    </row>
    <row r="78" spans="1:14" x14ac:dyDescent="0.4">
      <c r="A78" s="2"/>
      <c r="B78" s="359" t="s">
        <v>65</v>
      </c>
      <c r="C78" s="359"/>
      <c r="D78" s="359"/>
      <c r="E78" s="359"/>
      <c r="F78" s="359"/>
      <c r="G78" s="359"/>
      <c r="H78" s="359"/>
      <c r="I78" s="359"/>
      <c r="J78" s="359"/>
      <c r="K78" s="359"/>
      <c r="L78" s="359"/>
      <c r="M78" s="359"/>
      <c r="N78" s="359"/>
    </row>
    <row r="79" spans="1:14" x14ac:dyDescent="0.4">
      <c r="A79" s="2"/>
      <c r="B79" s="49"/>
      <c r="C79" s="49"/>
      <c r="D79" s="49"/>
      <c r="E79" s="49"/>
      <c r="F79" s="49"/>
      <c r="G79" s="13"/>
      <c r="H79" s="13"/>
      <c r="I79" s="13"/>
      <c r="J79" s="13"/>
      <c r="K79" s="13"/>
      <c r="L79" s="13"/>
      <c r="M79" s="13"/>
      <c r="N79" s="13"/>
    </row>
    <row r="80" spans="1:14" x14ac:dyDescent="0.4">
      <c r="A80" s="9">
        <v>13</v>
      </c>
      <c r="B80" s="405" t="s">
        <v>66</v>
      </c>
      <c r="C80" s="406"/>
      <c r="D80" s="406"/>
      <c r="E80" s="406"/>
      <c r="F80" s="406"/>
      <c r="G80" s="376"/>
      <c r="H80" s="11"/>
      <c r="I80" s="11"/>
      <c r="J80" s="11"/>
      <c r="K80" s="11"/>
      <c r="L80" s="11"/>
      <c r="M80" s="11"/>
      <c r="N80" s="11"/>
    </row>
    <row r="81" spans="1:14" x14ac:dyDescent="0.4">
      <c r="A81" s="9"/>
      <c r="C81" s="15"/>
      <c r="D81" s="15"/>
      <c r="E81" s="15"/>
      <c r="F81" s="15"/>
      <c r="G81" s="15"/>
      <c r="H81" s="15"/>
      <c r="I81" s="15"/>
      <c r="J81" s="15"/>
      <c r="K81" s="15"/>
      <c r="L81" s="15"/>
      <c r="M81" s="15"/>
      <c r="N81" s="15"/>
    </row>
    <row r="82" spans="1:14" ht="102.5" x14ac:dyDescent="0.4">
      <c r="A82" s="2"/>
      <c r="B82" s="50" t="s">
        <v>67</v>
      </c>
      <c r="C82" s="18" t="s">
        <v>68</v>
      </c>
      <c r="D82" s="18" t="s">
        <v>69</v>
      </c>
      <c r="E82" s="18" t="s">
        <v>88</v>
      </c>
      <c r="F82" s="18" t="s">
        <v>71</v>
      </c>
      <c r="G82" s="18" t="s">
        <v>107</v>
      </c>
      <c r="H82" s="13"/>
      <c r="I82" s="13"/>
      <c r="J82" s="13"/>
      <c r="K82" s="13"/>
      <c r="L82" s="13"/>
      <c r="M82" s="13"/>
      <c r="N82" s="13"/>
    </row>
    <row r="83" spans="1:14" ht="12.7" customHeight="1" x14ac:dyDescent="0.35">
      <c r="A83" s="2"/>
      <c r="B83" s="394" t="s">
        <v>72</v>
      </c>
      <c r="C83" s="3" t="s">
        <v>159</v>
      </c>
      <c r="D83" s="65">
        <v>0.56999999999999995</v>
      </c>
      <c r="E83" s="52">
        <v>1.76</v>
      </c>
      <c r="F83" s="66">
        <v>3.55</v>
      </c>
      <c r="G83" s="66">
        <v>2.95</v>
      </c>
      <c r="H83" s="53"/>
      <c r="I83" s="53"/>
      <c r="J83" s="53"/>
      <c r="K83" s="53"/>
      <c r="L83" s="53"/>
      <c r="M83" s="53"/>
      <c r="N83" s="53"/>
    </row>
    <row r="84" spans="1:14" x14ac:dyDescent="0.4">
      <c r="A84" s="2"/>
      <c r="B84" s="394"/>
      <c r="C84" s="3" t="s">
        <v>73</v>
      </c>
      <c r="D84" s="54"/>
      <c r="E84" s="52"/>
      <c r="F84" s="66"/>
      <c r="G84" s="66"/>
      <c r="H84" s="53"/>
      <c r="I84" s="53"/>
      <c r="J84" s="53"/>
      <c r="K84" s="53"/>
      <c r="L84" s="53"/>
      <c r="M84" s="53"/>
      <c r="N84" s="53"/>
    </row>
    <row r="85" spans="1:14" x14ac:dyDescent="0.35">
      <c r="A85" s="2"/>
      <c r="B85" s="394"/>
      <c r="C85" s="48" t="s">
        <v>160</v>
      </c>
      <c r="D85" s="54">
        <v>4.5</v>
      </c>
      <c r="E85" s="52">
        <v>6.36</v>
      </c>
      <c r="F85" s="66">
        <v>8.0399999999999991</v>
      </c>
      <c r="G85" s="66">
        <v>6.38</v>
      </c>
      <c r="H85" s="53"/>
      <c r="I85" s="53"/>
      <c r="J85" s="53"/>
      <c r="K85" s="53"/>
      <c r="L85" s="53"/>
      <c r="M85" s="53"/>
      <c r="N85" s="53"/>
    </row>
    <row r="86" spans="1:14" x14ac:dyDescent="0.35">
      <c r="A86" s="2"/>
      <c r="B86" s="394"/>
      <c r="C86" s="48" t="s">
        <v>161</v>
      </c>
      <c r="D86" s="54">
        <v>53.07</v>
      </c>
      <c r="E86" s="52">
        <v>55.13</v>
      </c>
      <c r="F86" s="66">
        <v>69.19</v>
      </c>
      <c r="G86" s="66">
        <v>15.82</v>
      </c>
      <c r="H86" s="53"/>
      <c r="I86" s="53"/>
      <c r="J86" s="53"/>
      <c r="K86" s="53"/>
      <c r="L86" s="53"/>
      <c r="M86" s="53"/>
      <c r="N86" s="53"/>
    </row>
    <row r="87" spans="1:14" x14ac:dyDescent="0.35">
      <c r="A87" s="2"/>
      <c r="B87" s="394"/>
      <c r="C87" s="3" t="s">
        <v>74</v>
      </c>
      <c r="D87" s="65">
        <v>28.79</v>
      </c>
      <c r="E87" s="52">
        <f>E85+E86/2</f>
        <v>33.925000000000004</v>
      </c>
      <c r="F87" s="66">
        <v>26.93</v>
      </c>
      <c r="G87" s="79">
        <f>SUM(G83:G86)/3</f>
        <v>8.3833333333333329</v>
      </c>
      <c r="H87" s="53"/>
      <c r="I87" s="53"/>
      <c r="J87" s="53"/>
      <c r="K87" s="53"/>
      <c r="L87" s="53"/>
      <c r="M87" s="53"/>
      <c r="N87" s="53"/>
    </row>
    <row r="88" spans="1:14" x14ac:dyDescent="0.35">
      <c r="A88" s="2"/>
      <c r="B88" s="394" t="s">
        <v>75</v>
      </c>
      <c r="C88" s="3" t="s">
        <v>159</v>
      </c>
      <c r="D88" s="65">
        <v>24.56</v>
      </c>
      <c r="E88" s="52">
        <v>12.5</v>
      </c>
      <c r="F88" s="66">
        <v>31.82</v>
      </c>
      <c r="G88" s="66">
        <f>182.25/G83</f>
        <v>61.779661016949149</v>
      </c>
      <c r="H88" s="53"/>
      <c r="I88" s="53"/>
      <c r="J88" s="53"/>
      <c r="K88" s="53"/>
      <c r="L88" s="53"/>
      <c r="M88" s="53"/>
      <c r="N88" s="53"/>
    </row>
    <row r="89" spans="1:14" x14ac:dyDescent="0.35">
      <c r="A89" s="2"/>
      <c r="B89" s="394"/>
      <c r="C89" s="3" t="s">
        <v>73</v>
      </c>
      <c r="D89" s="65"/>
      <c r="E89" s="52"/>
      <c r="F89" s="66"/>
      <c r="G89" s="66"/>
      <c r="H89" s="53"/>
      <c r="I89" s="53"/>
      <c r="J89" s="53"/>
      <c r="K89" s="53"/>
      <c r="L89" s="53"/>
      <c r="M89" s="53"/>
      <c r="N89" s="53"/>
    </row>
    <row r="90" spans="1:14" x14ac:dyDescent="0.35">
      <c r="A90" s="2"/>
      <c r="B90" s="394"/>
      <c r="C90" s="48" t="s">
        <v>160</v>
      </c>
      <c r="D90" s="65">
        <v>52</v>
      </c>
      <c r="E90" s="52">
        <v>39.47</v>
      </c>
      <c r="F90" s="66">
        <v>49.08</v>
      </c>
      <c r="G90" s="70">
        <f>450.25/G85</f>
        <v>70.572100313479623</v>
      </c>
      <c r="H90" s="53"/>
      <c r="I90" s="53"/>
      <c r="J90" s="53"/>
      <c r="K90" s="53"/>
      <c r="L90" s="53"/>
      <c r="M90" s="53"/>
      <c r="N90" s="53"/>
    </row>
    <row r="91" spans="1:14" x14ac:dyDescent="0.35">
      <c r="A91" s="2"/>
      <c r="B91" s="394"/>
      <c r="C91" s="48" t="s">
        <v>161</v>
      </c>
      <c r="D91" s="68">
        <v>40</v>
      </c>
      <c r="E91" s="52">
        <v>30.88</v>
      </c>
      <c r="F91" s="66">
        <v>25.07</v>
      </c>
      <c r="G91" s="70">
        <f>1521.55/G86</f>
        <v>96.178887484197219</v>
      </c>
      <c r="H91" s="53"/>
      <c r="I91" s="53"/>
      <c r="J91" s="53"/>
      <c r="K91" s="53"/>
      <c r="L91" s="53"/>
      <c r="M91" s="53"/>
      <c r="N91" s="53"/>
    </row>
    <row r="92" spans="1:14" x14ac:dyDescent="0.35">
      <c r="A92" s="2"/>
      <c r="B92" s="394"/>
      <c r="C92" s="3" t="s">
        <v>74</v>
      </c>
      <c r="D92" s="65">
        <v>46</v>
      </c>
      <c r="E92" s="52">
        <f>E90+E91/2</f>
        <v>54.91</v>
      </c>
      <c r="F92" s="66">
        <v>35.32</v>
      </c>
      <c r="G92" s="79">
        <f>SUM(G88:G91)/3</f>
        <v>76.176882938208664</v>
      </c>
      <c r="H92" s="53"/>
      <c r="I92" s="53"/>
      <c r="J92" s="53"/>
      <c r="K92" s="53"/>
      <c r="L92" s="53"/>
      <c r="M92" s="53"/>
      <c r="N92" s="53"/>
    </row>
    <row r="93" spans="1:14" x14ac:dyDescent="0.35">
      <c r="A93" s="2"/>
      <c r="B93" s="394" t="s">
        <v>76</v>
      </c>
      <c r="C93" s="3" t="s">
        <v>159</v>
      </c>
      <c r="D93" s="65">
        <v>5.39</v>
      </c>
      <c r="E93" s="52">
        <v>13.59</v>
      </c>
      <c r="F93" s="66">
        <v>21.5</v>
      </c>
      <c r="G93" s="71">
        <f>290.45/2798.78</f>
        <v>0.10377736013548759</v>
      </c>
      <c r="H93" s="53"/>
      <c r="I93" s="53"/>
      <c r="J93" s="53"/>
      <c r="K93" s="53"/>
      <c r="L93" s="53"/>
      <c r="M93" s="53"/>
      <c r="N93" s="53"/>
    </row>
    <row r="94" spans="1:14" x14ac:dyDescent="0.35">
      <c r="A94" s="2"/>
      <c r="B94" s="394"/>
      <c r="C94" s="3" t="s">
        <v>73</v>
      </c>
      <c r="D94" s="65"/>
      <c r="E94" s="52"/>
      <c r="F94" s="66"/>
      <c r="G94" s="66"/>
      <c r="H94" s="53"/>
      <c r="I94" s="53"/>
      <c r="J94" s="53"/>
      <c r="K94" s="53"/>
      <c r="L94" s="53"/>
      <c r="M94" s="53"/>
      <c r="N94" s="53"/>
    </row>
    <row r="95" spans="1:14" x14ac:dyDescent="0.35">
      <c r="A95" s="2"/>
      <c r="B95" s="394"/>
      <c r="C95" s="48" t="s">
        <v>160</v>
      </c>
      <c r="D95" s="65">
        <v>17.7</v>
      </c>
      <c r="E95" s="52">
        <v>18.87</v>
      </c>
      <c r="F95" s="66">
        <v>25.41</v>
      </c>
      <c r="G95" s="71">
        <f>1353.62/22257</f>
        <v>6.0817720267780921E-2</v>
      </c>
      <c r="H95" s="53"/>
      <c r="I95" s="53"/>
      <c r="J95" s="53"/>
      <c r="K95" s="53"/>
      <c r="L95" s="53"/>
      <c r="M95" s="53"/>
      <c r="N95" s="53"/>
    </row>
    <row r="96" spans="1:14" x14ac:dyDescent="0.35">
      <c r="A96" s="2"/>
      <c r="B96" s="394"/>
      <c r="C96" s="48" t="s">
        <v>161</v>
      </c>
      <c r="D96" s="68">
        <v>24.6</v>
      </c>
      <c r="E96" s="52">
        <v>22.75</v>
      </c>
      <c r="F96" s="66">
        <v>23.82</v>
      </c>
      <c r="G96" s="71">
        <f>1950/39965</f>
        <v>4.8792693606906044E-2</v>
      </c>
      <c r="H96" s="53"/>
      <c r="I96" s="53"/>
      <c r="J96" s="53"/>
      <c r="K96" s="53"/>
      <c r="L96" s="53"/>
      <c r="M96" s="53"/>
      <c r="N96" s="53"/>
    </row>
    <row r="97" spans="1:14" x14ac:dyDescent="0.35">
      <c r="A97" s="2"/>
      <c r="B97" s="394"/>
      <c r="C97" s="3" t="s">
        <v>74</v>
      </c>
      <c r="D97" s="65">
        <v>21.15</v>
      </c>
      <c r="E97" s="52">
        <f>E95+E96/2</f>
        <v>30.245000000000001</v>
      </c>
      <c r="F97" s="66">
        <v>23.58</v>
      </c>
      <c r="G97" s="80">
        <f>SUM(G93:G96)/3</f>
        <v>7.1129258003391524E-2</v>
      </c>
      <c r="H97" s="53"/>
      <c r="I97" s="53"/>
      <c r="J97" s="53"/>
      <c r="K97" s="57"/>
      <c r="L97" s="53"/>
      <c r="M97" s="53"/>
      <c r="N97" s="53"/>
    </row>
    <row r="98" spans="1:14" x14ac:dyDescent="0.35">
      <c r="A98" s="2"/>
      <c r="B98" s="58" t="s">
        <v>77</v>
      </c>
      <c r="C98" s="3" t="s">
        <v>159</v>
      </c>
      <c r="D98" s="65">
        <v>34.76</v>
      </c>
      <c r="E98" s="52">
        <v>12.95</v>
      </c>
      <c r="F98" s="66">
        <v>16.489999999999998</v>
      </c>
      <c r="G98" s="66">
        <f>2798.78/100.05</f>
        <v>27.973813093453277</v>
      </c>
      <c r="H98" s="53"/>
      <c r="I98" s="53"/>
      <c r="J98" s="53"/>
      <c r="K98" s="53"/>
      <c r="L98" s="53"/>
      <c r="M98" s="53"/>
      <c r="N98" s="53"/>
    </row>
    <row r="99" spans="1:14" x14ac:dyDescent="0.35">
      <c r="A99" s="2"/>
      <c r="B99" s="60"/>
      <c r="C99" s="3" t="s">
        <v>73</v>
      </c>
      <c r="D99" s="65"/>
      <c r="E99" s="52"/>
      <c r="F99" s="66"/>
      <c r="G99" s="66"/>
      <c r="H99" s="53"/>
      <c r="I99" s="53"/>
      <c r="J99" s="53"/>
      <c r="K99" s="53"/>
      <c r="L99" s="53"/>
      <c r="M99" s="53"/>
      <c r="N99" s="53"/>
    </row>
    <row r="100" spans="1:14" x14ac:dyDescent="0.35">
      <c r="A100" s="2"/>
      <c r="B100" s="60"/>
      <c r="C100" s="48" t="s">
        <v>160</v>
      </c>
      <c r="D100" s="65">
        <v>25.5</v>
      </c>
      <c r="E100" s="52">
        <v>33.700000000000003</v>
      </c>
      <c r="F100" s="66">
        <v>31.61</v>
      </c>
      <c r="G100" s="66">
        <f>22257/252.1</f>
        <v>88.286394287980968</v>
      </c>
      <c r="H100" s="53"/>
      <c r="I100" s="53"/>
      <c r="J100" s="53"/>
      <c r="K100" s="53"/>
      <c r="L100" s="53"/>
      <c r="M100" s="53"/>
      <c r="N100" s="53"/>
    </row>
    <row r="101" spans="1:14" x14ac:dyDescent="0.35">
      <c r="A101" s="2"/>
      <c r="B101" s="60"/>
      <c r="C101" s="48" t="s">
        <v>161</v>
      </c>
      <c r="D101" s="65">
        <v>259.39999999999998</v>
      </c>
      <c r="E101" s="52">
        <v>242.29</v>
      </c>
      <c r="F101" s="66">
        <v>290.39999999999998</v>
      </c>
      <c r="G101" s="66">
        <f>39965/123.3</f>
        <v>324.12814274128141</v>
      </c>
      <c r="H101" s="53"/>
      <c r="I101" s="53"/>
      <c r="J101" s="53"/>
      <c r="K101" s="53"/>
      <c r="L101" s="53"/>
      <c r="M101" s="53"/>
      <c r="N101" s="53"/>
    </row>
    <row r="102" spans="1:14" x14ac:dyDescent="0.35">
      <c r="A102" s="2"/>
      <c r="B102" s="60"/>
      <c r="C102" s="3" t="s">
        <v>74</v>
      </c>
      <c r="D102" s="65">
        <v>142.44999999999999</v>
      </c>
      <c r="E102" s="52">
        <f>E100+E101/2</f>
        <v>154.845</v>
      </c>
      <c r="F102" s="66">
        <v>112.83</v>
      </c>
      <c r="G102" s="79">
        <f>SUM(G98:G101)/3</f>
        <v>146.79611670757188</v>
      </c>
      <c r="H102" s="53"/>
      <c r="I102" s="53"/>
      <c r="J102" s="53"/>
      <c r="K102" s="53"/>
      <c r="L102" s="53"/>
      <c r="M102" s="53"/>
      <c r="N102" s="53"/>
    </row>
    <row r="103" spans="1:14" x14ac:dyDescent="0.4">
      <c r="A103" s="2"/>
      <c r="B103" s="415" t="s">
        <v>162</v>
      </c>
      <c r="C103" s="416"/>
      <c r="D103" s="416"/>
      <c r="E103" s="416"/>
      <c r="F103" s="416"/>
      <c r="G103" s="417"/>
      <c r="H103" s="53"/>
      <c r="I103" s="53"/>
      <c r="J103" s="53"/>
      <c r="K103" s="53"/>
      <c r="L103" s="53"/>
      <c r="M103" s="53"/>
      <c r="N103" s="53"/>
    </row>
    <row r="104" spans="1:14" x14ac:dyDescent="0.4">
      <c r="A104" s="2"/>
      <c r="B104" s="418" t="s">
        <v>85</v>
      </c>
      <c r="C104" s="419"/>
      <c r="D104" s="419"/>
      <c r="E104" s="419"/>
      <c r="F104" s="419"/>
      <c r="G104" s="420"/>
      <c r="H104" s="53"/>
      <c r="I104" s="53"/>
      <c r="J104" s="53"/>
      <c r="K104" s="53"/>
      <c r="L104" s="53"/>
      <c r="M104" s="53"/>
      <c r="N104" s="53"/>
    </row>
    <row r="105" spans="1:14" x14ac:dyDescent="0.4">
      <c r="A105" s="2"/>
      <c r="B105" s="363"/>
      <c r="C105" s="368"/>
      <c r="D105" s="368"/>
      <c r="E105" s="368"/>
      <c r="F105" s="368"/>
      <c r="G105" s="369"/>
      <c r="H105" s="53"/>
      <c r="I105" s="53"/>
      <c r="J105" s="53"/>
      <c r="K105" s="53"/>
      <c r="L105" s="53"/>
      <c r="M105" s="53"/>
      <c r="N105" s="53"/>
    </row>
    <row r="106" spans="1:14" x14ac:dyDescent="0.4">
      <c r="C106" s="407"/>
      <c r="D106" s="407"/>
      <c r="E106" s="407"/>
      <c r="F106" s="407"/>
      <c r="G106" s="407"/>
      <c r="H106" s="53"/>
      <c r="I106" s="53"/>
    </row>
    <row r="107" spans="1:14" x14ac:dyDescent="0.4">
      <c r="A107" s="9">
        <v>14</v>
      </c>
      <c r="B107" s="61" t="s">
        <v>78</v>
      </c>
      <c r="C107" s="356" t="s">
        <v>13</v>
      </c>
      <c r="D107" s="357"/>
      <c r="E107" s="357"/>
      <c r="F107" s="357"/>
      <c r="G107" s="408"/>
    </row>
    <row r="108" spans="1:14" x14ac:dyDescent="0.4">
      <c r="A108" s="23"/>
      <c r="C108" s="69"/>
      <c r="D108" s="69"/>
      <c r="E108" s="69"/>
      <c r="F108" s="69"/>
      <c r="G108" s="69"/>
    </row>
    <row r="109" spans="1:14" x14ac:dyDescent="0.4">
      <c r="B109" s="409" t="s">
        <v>163</v>
      </c>
      <c r="C109" s="410"/>
      <c r="D109" s="410"/>
      <c r="E109" s="410"/>
      <c r="F109" s="410"/>
      <c r="G109" s="410"/>
      <c r="H109" s="410"/>
    </row>
  </sheetData>
  <sheetProtection password="E9DF" sheet="1" objects="1" scenarios="1"/>
  <mergeCells count="58">
    <mergeCell ref="B109:H109"/>
    <mergeCell ref="B93:B97"/>
    <mergeCell ref="B103:G103"/>
    <mergeCell ref="B104:G104"/>
    <mergeCell ref="B105:G105"/>
    <mergeCell ref="C106:G106"/>
    <mergeCell ref="C107:G107"/>
    <mergeCell ref="B88:B92"/>
    <mergeCell ref="F68:H68"/>
    <mergeCell ref="I68:K68"/>
    <mergeCell ref="L68:N68"/>
    <mergeCell ref="B73:N73"/>
    <mergeCell ref="B74:N74"/>
    <mergeCell ref="B75:N75"/>
    <mergeCell ref="B68:B69"/>
    <mergeCell ref="C68:C69"/>
    <mergeCell ref="D68:D69"/>
    <mergeCell ref="E68:E69"/>
    <mergeCell ref="B76:N76"/>
    <mergeCell ref="B77:N77"/>
    <mergeCell ref="B78:N78"/>
    <mergeCell ref="B80:G80"/>
    <mergeCell ref="B83:B87"/>
    <mergeCell ref="C56:E56"/>
    <mergeCell ref="C57:E57"/>
    <mergeCell ref="B58:E58"/>
    <mergeCell ref="B59:E59"/>
    <mergeCell ref="C62:E62"/>
    <mergeCell ref="B48:E48"/>
    <mergeCell ref="B51:E51"/>
    <mergeCell ref="B53:E53"/>
    <mergeCell ref="B54:B55"/>
    <mergeCell ref="C54:E54"/>
    <mergeCell ref="C55:E55"/>
    <mergeCell ref="B46:E46"/>
    <mergeCell ref="C22:E22"/>
    <mergeCell ref="B23:E23"/>
    <mergeCell ref="B26:E26"/>
    <mergeCell ref="B27:E27"/>
    <mergeCell ref="B33:E33"/>
    <mergeCell ref="B35:E35"/>
    <mergeCell ref="B39:C39"/>
    <mergeCell ref="B42:E42"/>
    <mergeCell ref="C43:E43"/>
    <mergeCell ref="C44:E44"/>
    <mergeCell ref="C45:E45"/>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111"/>
  <sheetViews>
    <sheetView workbookViewId="0">
      <selection activeCell="B75" sqref="B75:N75"/>
    </sheetView>
  </sheetViews>
  <sheetFormatPr defaultColWidth="8.84375" defaultRowHeight="13.25" x14ac:dyDescent="0.4"/>
  <cols>
    <col min="1" max="1" width="8.84375" style="8"/>
    <col min="2" max="2" width="40.84375" style="8" customWidth="1"/>
    <col min="3" max="3" width="43.4609375" style="8" customWidth="1"/>
    <col min="4" max="4" width="30.84375" style="8" customWidth="1"/>
    <col min="5" max="5" width="22.3046875" style="23"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575</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row>
    <row r="7" spans="1:5" x14ac:dyDescent="0.4">
      <c r="A7" s="9"/>
      <c r="B7" s="11"/>
      <c r="D7" s="5"/>
    </row>
    <row r="8" spans="1:5" ht="21" customHeight="1" x14ac:dyDescent="0.4">
      <c r="A8" s="9">
        <v>2</v>
      </c>
      <c r="B8" s="7" t="s">
        <v>6</v>
      </c>
      <c r="C8" s="12" t="s">
        <v>576</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row>
    <row r="13" spans="1:5" x14ac:dyDescent="0.4">
      <c r="A13" s="9"/>
      <c r="B13" s="11"/>
      <c r="D13" s="5"/>
    </row>
    <row r="14" spans="1:5" ht="30.6" customHeight="1" x14ac:dyDescent="0.4">
      <c r="A14" s="9">
        <v>4</v>
      </c>
      <c r="B14" s="3" t="s">
        <v>9</v>
      </c>
      <c r="C14" s="4" t="s">
        <v>577</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574</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5"/>
      <c r="F24" s="15"/>
      <c r="G24" s="13"/>
      <c r="H24" s="13"/>
      <c r="I24" s="13"/>
      <c r="J24" s="13"/>
      <c r="K24" s="13"/>
      <c r="L24" s="13"/>
      <c r="M24" s="13"/>
      <c r="N24" s="13"/>
    </row>
    <row r="25" spans="1:14" x14ac:dyDescent="0.4">
      <c r="A25" s="9"/>
      <c r="B25" s="15"/>
      <c r="C25" s="15"/>
      <c r="D25" s="15"/>
      <c r="E25" s="9"/>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744</v>
      </c>
      <c r="E28" s="18" t="s">
        <v>293</v>
      </c>
      <c r="F28" s="15"/>
    </row>
    <row r="29" spans="1:14" x14ac:dyDescent="0.4">
      <c r="A29" s="9"/>
      <c r="B29" s="19" t="s">
        <v>24</v>
      </c>
      <c r="C29" s="20">
        <v>3507.74</v>
      </c>
      <c r="D29" s="20">
        <v>4452.42</v>
      </c>
      <c r="E29" s="52">
        <v>4445.8999999999996</v>
      </c>
      <c r="F29" s="15"/>
    </row>
    <row r="30" spans="1:14" x14ac:dyDescent="0.4">
      <c r="A30" s="9"/>
      <c r="B30" s="19" t="s">
        <v>25</v>
      </c>
      <c r="C30" s="20">
        <v>467</v>
      </c>
      <c r="D30" s="20">
        <v>278.87</v>
      </c>
      <c r="E30" s="52">
        <v>306.41000000000003</v>
      </c>
      <c r="F30" s="15"/>
    </row>
    <row r="31" spans="1:14" x14ac:dyDescent="0.4">
      <c r="A31" s="9"/>
      <c r="B31" s="19" t="s">
        <v>26</v>
      </c>
      <c r="C31" s="20">
        <v>1023.81</v>
      </c>
      <c r="D31" s="20">
        <v>1023.81</v>
      </c>
      <c r="E31" s="20">
        <v>1023.81</v>
      </c>
      <c r="F31" s="15" t="s">
        <v>693</v>
      </c>
    </row>
    <row r="32" spans="1:14" x14ac:dyDescent="0.4">
      <c r="A32" s="9"/>
      <c r="B32" s="19" t="s">
        <v>27</v>
      </c>
      <c r="C32" s="20">
        <v>1547.46</v>
      </c>
      <c r="D32" s="20">
        <v>1828.66</v>
      </c>
      <c r="E32" s="20">
        <v>2060.39</v>
      </c>
      <c r="F32" s="15"/>
    </row>
    <row r="33" spans="1:10" x14ac:dyDescent="0.4">
      <c r="A33" s="9"/>
      <c r="B33" s="363" t="s">
        <v>244</v>
      </c>
      <c r="C33" s="368"/>
      <c r="D33" s="368"/>
      <c r="E33" s="369"/>
      <c r="F33" s="15"/>
    </row>
    <row r="34" spans="1:10" x14ac:dyDescent="0.4">
      <c r="A34" s="9"/>
      <c r="B34" s="13"/>
      <c r="C34" s="15"/>
      <c r="D34" s="15"/>
      <c r="E34" s="9"/>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5"/>
      <c r="F36" s="13"/>
    </row>
    <row r="37" spans="1:10" x14ac:dyDescent="0.4">
      <c r="A37" s="9"/>
      <c r="B37" s="17" t="s">
        <v>31</v>
      </c>
      <c r="C37" s="20" t="s">
        <v>183</v>
      </c>
      <c r="D37" s="13"/>
      <c r="E37" s="5"/>
      <c r="F37" s="13"/>
    </row>
    <row r="38" spans="1:10" x14ac:dyDescent="0.4">
      <c r="A38" s="9"/>
      <c r="B38" s="22" t="s">
        <v>32</v>
      </c>
      <c r="C38" s="20" t="s">
        <v>183</v>
      </c>
      <c r="D38" s="13"/>
      <c r="E38" s="5"/>
      <c r="F38" s="13"/>
    </row>
    <row r="39" spans="1:10" x14ac:dyDescent="0.4">
      <c r="A39" s="9"/>
      <c r="B39" s="359" t="s">
        <v>94</v>
      </c>
      <c r="C39" s="359"/>
      <c r="D39" s="13"/>
      <c r="E39" s="5"/>
      <c r="F39" s="13"/>
    </row>
    <row r="40" spans="1:10" x14ac:dyDescent="0.4">
      <c r="A40" s="9"/>
      <c r="C40" s="13"/>
      <c r="D40" s="13"/>
      <c r="E40" s="5"/>
      <c r="F40" s="13"/>
    </row>
    <row r="41" spans="1:10" x14ac:dyDescent="0.4">
      <c r="A41" s="9"/>
      <c r="B41" s="15"/>
      <c r="C41" s="13"/>
      <c r="D41" s="13"/>
      <c r="E41" s="5"/>
      <c r="F41" s="13"/>
    </row>
    <row r="42" spans="1:10" x14ac:dyDescent="0.4">
      <c r="A42" s="9">
        <v>8</v>
      </c>
      <c r="B42" s="365" t="s">
        <v>33</v>
      </c>
      <c r="C42" s="365"/>
      <c r="D42" s="365"/>
      <c r="E42" s="365"/>
      <c r="F42" s="11" t="s">
        <v>693</v>
      </c>
      <c r="G42" s="11"/>
      <c r="H42" s="11"/>
      <c r="I42" s="11"/>
      <c r="J42" s="11"/>
    </row>
    <row r="43" spans="1:10" x14ac:dyDescent="0.4">
      <c r="A43" s="9"/>
      <c r="B43" s="17" t="s">
        <v>34</v>
      </c>
      <c r="C43" s="373" t="s">
        <v>560</v>
      </c>
      <c r="D43" s="374"/>
      <c r="E43" s="375"/>
      <c r="F43" s="13"/>
    </row>
    <row r="44" spans="1:10" x14ac:dyDescent="0.4">
      <c r="A44" s="9"/>
      <c r="B44" s="17" t="s">
        <v>31</v>
      </c>
      <c r="C44" s="373" t="s">
        <v>560</v>
      </c>
      <c r="D44" s="374"/>
      <c r="E44" s="375"/>
      <c r="F44" s="13"/>
    </row>
    <row r="45" spans="1:10" x14ac:dyDescent="0.4">
      <c r="A45" s="9"/>
      <c r="B45" s="17" t="s">
        <v>32</v>
      </c>
      <c r="C45" s="446" t="s">
        <v>560</v>
      </c>
      <c r="D45" s="446"/>
      <c r="E45" s="446"/>
      <c r="F45" s="13"/>
    </row>
    <row r="46" spans="1:10" x14ac:dyDescent="0.4">
      <c r="A46" s="9"/>
      <c r="B46" s="363" t="s">
        <v>35</v>
      </c>
      <c r="C46" s="368"/>
      <c r="D46" s="368"/>
      <c r="E46" s="369"/>
      <c r="F46" s="13"/>
    </row>
    <row r="47" spans="1:10" x14ac:dyDescent="0.4">
      <c r="A47" s="2"/>
      <c r="D47" s="23"/>
      <c r="E47" s="5"/>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69.8" customHeight="1" x14ac:dyDescent="0.4">
      <c r="A50" s="29"/>
      <c r="B50" s="78" t="s">
        <v>307</v>
      </c>
      <c r="C50" s="78" t="s">
        <v>578</v>
      </c>
      <c r="D50" s="112" t="s">
        <v>665</v>
      </c>
      <c r="E50" s="78" t="s">
        <v>83</v>
      </c>
    </row>
    <row r="51" spans="1:14" x14ac:dyDescent="0.4">
      <c r="A51" s="31"/>
      <c r="B51" s="380" t="s">
        <v>667</v>
      </c>
      <c r="C51" s="381"/>
      <c r="D51" s="381"/>
      <c r="E51" s="382"/>
      <c r="F51" s="15"/>
      <c r="G51" s="15"/>
      <c r="H51" s="15"/>
    </row>
    <row r="52" spans="1:14" x14ac:dyDescent="0.4">
      <c r="A52" s="32"/>
      <c r="B52" s="62"/>
      <c r="C52" s="23"/>
      <c r="D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666</v>
      </c>
      <c r="D54" s="386"/>
      <c r="E54" s="387"/>
      <c r="K54" s="1"/>
    </row>
    <row r="55" spans="1:14" x14ac:dyDescent="0.4">
      <c r="A55" s="29"/>
      <c r="B55" s="384"/>
      <c r="C55" s="388"/>
      <c r="D55" s="389"/>
      <c r="E55" s="390"/>
      <c r="K55" s="1"/>
    </row>
    <row r="56" spans="1:14" ht="41.3" customHeight="1" x14ac:dyDescent="0.4">
      <c r="A56" s="24"/>
      <c r="B56" s="33" t="s">
        <v>44</v>
      </c>
      <c r="C56" s="391" t="s">
        <v>666</v>
      </c>
      <c r="D56" s="391"/>
      <c r="E56" s="391"/>
    </row>
    <row r="57" spans="1:14" x14ac:dyDescent="0.4">
      <c r="A57" s="29"/>
      <c r="B57" s="33" t="s">
        <v>45</v>
      </c>
      <c r="C57" s="391" t="s">
        <v>46</v>
      </c>
      <c r="D57" s="391"/>
      <c r="E57" s="391"/>
      <c r="K57" s="34"/>
    </row>
    <row r="58" spans="1:14" x14ac:dyDescent="0.4">
      <c r="A58" s="29"/>
      <c r="B58" s="380" t="s">
        <v>667</v>
      </c>
      <c r="C58" s="381"/>
      <c r="D58" s="381"/>
      <c r="E58" s="382"/>
      <c r="K58" s="34"/>
    </row>
    <row r="59" spans="1:14" s="63" customFormat="1" x14ac:dyDescent="0.35">
      <c r="A59" s="35" t="s">
        <v>47</v>
      </c>
      <c r="B59" s="392" t="s">
        <v>48</v>
      </c>
      <c r="C59" s="392"/>
      <c r="D59" s="392"/>
      <c r="E59" s="392"/>
    </row>
    <row r="60" spans="1:14" x14ac:dyDescent="0.4">
      <c r="A60" s="40"/>
      <c r="B60" s="41"/>
      <c r="C60" s="42"/>
      <c r="D60" s="42"/>
      <c r="E60" s="99"/>
      <c r="F60" s="42"/>
    </row>
    <row r="61" spans="1:14" x14ac:dyDescent="0.4">
      <c r="A61" s="9">
        <v>11</v>
      </c>
      <c r="B61" s="3" t="s">
        <v>49</v>
      </c>
      <c r="C61" s="393" t="s">
        <v>50</v>
      </c>
      <c r="D61" s="393"/>
      <c r="E61" s="393"/>
      <c r="F61" s="11"/>
      <c r="G61" s="11"/>
      <c r="H61" s="43"/>
      <c r="I61" s="11"/>
      <c r="J61" s="11"/>
    </row>
    <row r="62" spans="1:14" x14ac:dyDescent="0.4">
      <c r="A62" s="9"/>
      <c r="B62" s="15"/>
      <c r="C62" s="15"/>
      <c r="D62" s="15"/>
      <c r="E62" s="9"/>
      <c r="F62" s="15"/>
      <c r="G62" s="15"/>
      <c r="H62" s="44"/>
      <c r="I62" s="44"/>
      <c r="J62" s="15"/>
    </row>
    <row r="63" spans="1:14" x14ac:dyDescent="0.4">
      <c r="A63" s="9">
        <v>12</v>
      </c>
      <c r="B63" s="11" t="s">
        <v>51</v>
      </c>
      <c r="C63" s="11"/>
      <c r="D63" s="11"/>
      <c r="E63" s="106"/>
      <c r="F63" s="43"/>
      <c r="G63" s="11"/>
      <c r="H63" s="11"/>
      <c r="I63" s="11"/>
      <c r="J63" s="11"/>
      <c r="K63" s="11"/>
      <c r="L63" s="11"/>
      <c r="M63" s="11"/>
      <c r="N63" s="11"/>
    </row>
    <row r="64" spans="1:14" x14ac:dyDescent="0.4">
      <c r="A64" s="9"/>
      <c r="B64" s="11"/>
      <c r="C64" s="11"/>
      <c r="D64" s="11"/>
      <c r="E64" s="9"/>
      <c r="F64" s="11"/>
      <c r="G64" s="11"/>
      <c r="H64" s="11"/>
      <c r="I64" s="11"/>
      <c r="J64" s="11"/>
      <c r="K64" s="11"/>
      <c r="L64" s="11"/>
      <c r="M64" s="11"/>
      <c r="N64" s="11"/>
    </row>
    <row r="65" spans="1:17" x14ac:dyDescent="0.4">
      <c r="A65" s="9"/>
      <c r="B65" s="17" t="s">
        <v>52</v>
      </c>
      <c r="C65" s="19" t="s">
        <v>533</v>
      </c>
      <c r="D65" s="15"/>
      <c r="E65" s="106"/>
      <c r="F65" s="44"/>
      <c r="G65" s="44"/>
      <c r="H65" s="15"/>
      <c r="I65" s="15"/>
      <c r="J65" s="15"/>
      <c r="K65" s="15"/>
      <c r="L65" s="15"/>
      <c r="M65" s="15"/>
      <c r="N65" s="15"/>
    </row>
    <row r="66" spans="1:17" x14ac:dyDescent="0.4">
      <c r="A66" s="9"/>
      <c r="B66" s="15"/>
      <c r="C66" s="15"/>
      <c r="D66" s="15"/>
      <c r="E66" s="9"/>
      <c r="F66" s="15"/>
      <c r="G66" s="15"/>
      <c r="H66" s="15"/>
      <c r="I66" s="15"/>
      <c r="J66" s="15"/>
      <c r="K66" s="15"/>
      <c r="L66" s="15"/>
      <c r="M66" s="15"/>
      <c r="N66" s="15"/>
    </row>
    <row r="67" spans="1:17" x14ac:dyDescent="0.4">
      <c r="A67" s="9"/>
      <c r="B67" s="365" t="s">
        <v>53</v>
      </c>
      <c r="C67" s="366" t="s">
        <v>579</v>
      </c>
      <c r="D67" s="366" t="s">
        <v>271</v>
      </c>
      <c r="E67" s="403" t="s">
        <v>232</v>
      </c>
      <c r="F67" s="395" t="s">
        <v>54</v>
      </c>
      <c r="G67" s="396"/>
      <c r="H67" s="397"/>
      <c r="I67" s="398" t="s">
        <v>55</v>
      </c>
      <c r="J67" s="398"/>
      <c r="K67" s="398"/>
      <c r="L67" s="398" t="s">
        <v>56</v>
      </c>
      <c r="M67" s="398"/>
      <c r="N67" s="398"/>
    </row>
    <row r="68" spans="1:17"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7" x14ac:dyDescent="0.4">
      <c r="A69" s="2"/>
      <c r="B69" s="17" t="s">
        <v>103</v>
      </c>
      <c r="C69" s="45">
        <v>29.3</v>
      </c>
      <c r="D69" s="46">
        <v>26.15</v>
      </c>
      <c r="E69" s="100">
        <v>25.5</v>
      </c>
      <c r="F69" s="46">
        <v>26.9</v>
      </c>
      <c r="G69" s="46">
        <v>33.6</v>
      </c>
      <c r="H69" s="45">
        <v>24.25</v>
      </c>
      <c r="I69" s="45">
        <v>22.2</v>
      </c>
      <c r="J69" s="45">
        <v>28.05</v>
      </c>
      <c r="K69" s="45">
        <v>16</v>
      </c>
      <c r="L69" s="45">
        <v>11</v>
      </c>
      <c r="M69" s="45">
        <v>25.5</v>
      </c>
      <c r="N69" s="45">
        <v>8.0500000000000007</v>
      </c>
    </row>
    <row r="70" spans="1:17" ht="25.65" x14ac:dyDescent="0.4">
      <c r="A70" s="2"/>
      <c r="B70" s="17" t="s">
        <v>104</v>
      </c>
      <c r="C70" s="45">
        <v>10226.85</v>
      </c>
      <c r="D70" s="45">
        <v>10379.35</v>
      </c>
      <c r="E70" s="101">
        <v>10768.35</v>
      </c>
      <c r="F70" s="46">
        <v>10113.700000000001</v>
      </c>
      <c r="G70" s="46">
        <v>9075.15</v>
      </c>
      <c r="H70" s="115">
        <v>11075.95</v>
      </c>
      <c r="I70" s="45">
        <v>11623.9</v>
      </c>
      <c r="J70" s="45">
        <v>11760.2</v>
      </c>
      <c r="K70" s="45">
        <v>10004.549999999999</v>
      </c>
      <c r="L70" s="45">
        <v>8597.75</v>
      </c>
      <c r="M70" s="45">
        <v>12430.5</v>
      </c>
      <c r="N70" s="45">
        <v>7511.1</v>
      </c>
    </row>
    <row r="71" spans="1:17" x14ac:dyDescent="0.4">
      <c r="A71" s="2"/>
      <c r="B71" s="401" t="s">
        <v>94</v>
      </c>
      <c r="C71" s="401"/>
      <c r="D71" s="401"/>
      <c r="E71" s="401"/>
      <c r="F71" s="401"/>
      <c r="G71" s="401"/>
      <c r="H71" s="401"/>
      <c r="I71" s="401"/>
      <c r="J71" s="401"/>
      <c r="K71" s="401"/>
      <c r="L71" s="401"/>
      <c r="M71" s="401"/>
      <c r="N71" s="401"/>
    </row>
    <row r="72" spans="1:17" x14ac:dyDescent="0.4">
      <c r="A72" s="2"/>
      <c r="B72" s="359" t="s">
        <v>63</v>
      </c>
      <c r="C72" s="359"/>
      <c r="D72" s="359"/>
      <c r="E72" s="359"/>
      <c r="F72" s="359"/>
      <c r="G72" s="359"/>
      <c r="H72" s="359"/>
      <c r="I72" s="359"/>
      <c r="J72" s="359"/>
      <c r="K72" s="359"/>
      <c r="L72" s="359"/>
      <c r="M72" s="359"/>
      <c r="N72" s="359"/>
    </row>
    <row r="73" spans="1:17" s="1" customFormat="1" x14ac:dyDescent="0.4">
      <c r="B73" s="359" t="s">
        <v>64</v>
      </c>
      <c r="C73" s="359"/>
      <c r="D73" s="359"/>
      <c r="E73" s="359"/>
      <c r="F73" s="359"/>
      <c r="G73" s="359"/>
      <c r="H73" s="359"/>
      <c r="I73" s="359"/>
      <c r="J73" s="359"/>
      <c r="K73" s="359"/>
      <c r="L73" s="359"/>
      <c r="M73" s="359"/>
      <c r="N73" s="359"/>
    </row>
    <row r="74" spans="1:17" x14ac:dyDescent="0.4">
      <c r="A74" s="2"/>
      <c r="B74" s="359" t="s">
        <v>358</v>
      </c>
      <c r="C74" s="359"/>
      <c r="D74" s="359"/>
      <c r="E74" s="359"/>
      <c r="F74" s="359"/>
      <c r="G74" s="359"/>
      <c r="H74" s="359"/>
      <c r="I74" s="359"/>
      <c r="J74" s="359"/>
      <c r="K74" s="359"/>
      <c r="L74" s="359"/>
      <c r="M74" s="359"/>
      <c r="N74" s="359"/>
    </row>
    <row r="75" spans="1:17" x14ac:dyDescent="0.4">
      <c r="A75" s="2"/>
      <c r="B75" s="359" t="s">
        <v>65</v>
      </c>
      <c r="C75" s="359"/>
      <c r="D75" s="359"/>
      <c r="E75" s="359"/>
      <c r="F75" s="359"/>
      <c r="G75" s="359"/>
      <c r="H75" s="359"/>
      <c r="I75" s="359"/>
      <c r="J75" s="359"/>
      <c r="K75" s="359"/>
      <c r="L75" s="359"/>
      <c r="M75" s="359"/>
      <c r="N75" s="359"/>
    </row>
    <row r="76" spans="1:17" x14ac:dyDescent="0.4">
      <c r="A76" s="2"/>
      <c r="B76" s="49"/>
      <c r="C76" s="49"/>
      <c r="D76" s="49"/>
      <c r="E76" s="102"/>
      <c r="F76" s="49"/>
      <c r="G76" s="13"/>
      <c r="H76" s="13"/>
      <c r="I76" s="13"/>
      <c r="J76" s="13"/>
      <c r="K76" s="13"/>
      <c r="L76" s="13"/>
      <c r="M76" s="13"/>
      <c r="N76" s="13"/>
    </row>
    <row r="77" spans="1:17" x14ac:dyDescent="0.4">
      <c r="A77" s="9">
        <v>13</v>
      </c>
      <c r="B77" s="405" t="s">
        <v>66</v>
      </c>
      <c r="C77" s="406"/>
      <c r="D77" s="406"/>
      <c r="E77" s="406"/>
      <c r="F77" s="406"/>
      <c r="G77" s="376"/>
      <c r="H77" s="11"/>
      <c r="I77" s="11"/>
      <c r="J77" s="11"/>
      <c r="K77" s="11"/>
      <c r="L77" s="11"/>
      <c r="M77" s="11"/>
      <c r="N77" s="11"/>
    </row>
    <row r="78" spans="1:17" x14ac:dyDescent="0.4">
      <c r="A78" s="9"/>
      <c r="C78" s="15"/>
      <c r="D78" s="15"/>
      <c r="E78" s="9"/>
      <c r="F78" s="15"/>
      <c r="G78" s="15"/>
      <c r="H78" s="15"/>
      <c r="I78" s="15"/>
      <c r="J78" s="15"/>
      <c r="K78" s="15"/>
      <c r="L78" s="15"/>
      <c r="M78" s="15"/>
      <c r="N78" s="15"/>
      <c r="Q78" s="8" t="s">
        <v>693</v>
      </c>
    </row>
    <row r="79" spans="1:17" ht="51.25" x14ac:dyDescent="0.4">
      <c r="A79" s="2"/>
      <c r="B79" s="50" t="s">
        <v>67</v>
      </c>
      <c r="C79" s="18" t="s">
        <v>68</v>
      </c>
      <c r="D79" s="18" t="s">
        <v>69</v>
      </c>
      <c r="E79" s="18" t="s">
        <v>580</v>
      </c>
      <c r="F79" s="18" t="s">
        <v>71</v>
      </c>
      <c r="G79" s="18" t="s">
        <v>107</v>
      </c>
      <c r="H79" s="13"/>
      <c r="I79" s="13"/>
      <c r="J79" s="13"/>
      <c r="K79" s="13"/>
      <c r="L79" s="13"/>
      <c r="M79" s="13"/>
      <c r="N79" s="13"/>
    </row>
    <row r="80" spans="1:17" x14ac:dyDescent="0.35">
      <c r="A80" s="2"/>
      <c r="B80" s="394" t="s">
        <v>72</v>
      </c>
      <c r="C80" s="3" t="s">
        <v>581</v>
      </c>
      <c r="D80" s="65">
        <v>5.46</v>
      </c>
      <c r="E80" s="52">
        <v>5.19</v>
      </c>
      <c r="F80" s="52">
        <v>2.72</v>
      </c>
      <c r="G80" s="52"/>
      <c r="H80" s="53"/>
      <c r="I80" s="53"/>
      <c r="J80" s="53"/>
      <c r="K80" s="53"/>
      <c r="L80" s="53"/>
      <c r="M80" s="53"/>
      <c r="N80" s="53"/>
    </row>
    <row r="81" spans="1:14" x14ac:dyDescent="0.4">
      <c r="A81" s="2"/>
      <c r="B81" s="394"/>
      <c r="C81" s="3" t="s">
        <v>73</v>
      </c>
      <c r="D81" s="54"/>
      <c r="E81" s="52"/>
      <c r="F81" s="52"/>
      <c r="G81" s="52"/>
      <c r="H81" s="53"/>
      <c r="I81" s="53"/>
      <c r="J81" s="53"/>
      <c r="K81" s="53"/>
      <c r="L81" s="53"/>
      <c r="M81" s="53"/>
      <c r="N81" s="53"/>
    </row>
    <row r="82" spans="1:14" x14ac:dyDescent="0.4">
      <c r="A82" s="2"/>
      <c r="B82" s="394"/>
      <c r="C82" s="21" t="s">
        <v>582</v>
      </c>
      <c r="D82" s="54">
        <v>17.07</v>
      </c>
      <c r="E82" s="52">
        <v>18.809999999999999</v>
      </c>
      <c r="F82" s="52">
        <v>19.28</v>
      </c>
      <c r="G82" s="52">
        <v>21.98</v>
      </c>
      <c r="H82" s="53"/>
      <c r="I82" s="53"/>
      <c r="J82" s="53"/>
      <c r="K82" s="53"/>
      <c r="L82" s="53"/>
      <c r="M82" s="53"/>
      <c r="N82" s="53"/>
    </row>
    <row r="83" spans="1:14" x14ac:dyDescent="0.4">
      <c r="A83" s="2"/>
      <c r="B83" s="394"/>
      <c r="C83" s="21" t="s">
        <v>583</v>
      </c>
      <c r="D83" s="54">
        <v>2.36</v>
      </c>
      <c r="E83" s="52">
        <v>-4.9800000000000004</v>
      </c>
      <c r="F83" s="52">
        <v>-4.12</v>
      </c>
      <c r="G83" s="52">
        <v>-7.13</v>
      </c>
      <c r="H83" s="53"/>
      <c r="I83" s="53"/>
      <c r="J83" s="53"/>
      <c r="K83" s="53"/>
      <c r="L83" s="53"/>
      <c r="M83" s="53"/>
      <c r="N83" s="53"/>
    </row>
    <row r="84" spans="1:14" x14ac:dyDescent="0.4">
      <c r="A84" s="2"/>
      <c r="B84" s="394"/>
      <c r="C84" s="21" t="s">
        <v>584</v>
      </c>
      <c r="D84" s="54">
        <v>51.53</v>
      </c>
      <c r="E84" s="52">
        <v>22.4</v>
      </c>
      <c r="F84" s="52">
        <v>15.2</v>
      </c>
      <c r="G84" s="52" t="s">
        <v>806</v>
      </c>
      <c r="H84" s="53"/>
      <c r="I84" s="53"/>
      <c r="J84" s="53"/>
      <c r="K84" s="53"/>
      <c r="L84" s="53"/>
      <c r="M84" s="53"/>
      <c r="N84" s="53"/>
    </row>
    <row r="85" spans="1:14" x14ac:dyDescent="0.4">
      <c r="A85" s="2"/>
      <c r="B85" s="394"/>
      <c r="C85" s="3" t="s">
        <v>74</v>
      </c>
      <c r="D85" s="132">
        <f>SUM(D82:D84)/3</f>
        <v>23.653333333333336</v>
      </c>
      <c r="E85" s="132">
        <f>SUM(E82:E84)/3</f>
        <v>12.076666666666666</v>
      </c>
      <c r="F85" s="132">
        <f>SUM(F82:F84)/3</f>
        <v>10.119999999999999</v>
      </c>
      <c r="G85" s="52"/>
      <c r="H85" s="53"/>
      <c r="I85" s="53"/>
      <c r="J85" s="53"/>
      <c r="K85" s="53"/>
      <c r="L85" s="53"/>
      <c r="M85" s="53"/>
      <c r="N85" s="53"/>
    </row>
    <row r="86" spans="1:14" x14ac:dyDescent="0.35">
      <c r="A86" s="2"/>
      <c r="B86" s="394" t="s">
        <v>75</v>
      </c>
      <c r="C86" s="3" t="s">
        <v>581</v>
      </c>
      <c r="D86" s="77">
        <v>10.17</v>
      </c>
      <c r="E86" s="55">
        <f>26.9/E80</f>
        <v>5.1830443159922925</v>
      </c>
      <c r="F86" s="55">
        <f>I69/F80</f>
        <v>8.1617647058823515</v>
      </c>
      <c r="G86" s="52"/>
      <c r="H86" s="53"/>
      <c r="I86" s="53"/>
      <c r="J86" s="53"/>
      <c r="K86" s="53"/>
      <c r="L86" s="53"/>
      <c r="M86" s="53"/>
      <c r="N86" s="53"/>
    </row>
    <row r="87" spans="1:14" x14ac:dyDescent="0.4">
      <c r="A87" s="2"/>
      <c r="B87" s="394"/>
      <c r="C87" s="3" t="s">
        <v>73</v>
      </c>
      <c r="D87" s="54"/>
      <c r="E87" s="52"/>
      <c r="F87" s="52"/>
      <c r="G87" s="52"/>
      <c r="H87" s="53"/>
      <c r="I87" s="53" t="s">
        <v>693</v>
      </c>
      <c r="J87" s="53"/>
      <c r="K87" s="53"/>
      <c r="L87" s="53"/>
      <c r="M87" s="53"/>
      <c r="N87" s="53"/>
    </row>
    <row r="88" spans="1:14" x14ac:dyDescent="0.4">
      <c r="A88" s="2"/>
      <c r="B88" s="394"/>
      <c r="C88" s="21" t="s">
        <v>582</v>
      </c>
      <c r="D88" s="54">
        <v>51.85</v>
      </c>
      <c r="E88" s="55">
        <f>918.5/E82</f>
        <v>48.830409356725148</v>
      </c>
      <c r="F88" s="55">
        <f>1242.35/F82</f>
        <v>64.437240663900411</v>
      </c>
      <c r="G88" s="52">
        <v>61.74</v>
      </c>
      <c r="H88" s="53"/>
      <c r="I88" s="53"/>
      <c r="J88" s="53"/>
      <c r="K88" s="53"/>
      <c r="L88" s="53"/>
      <c r="M88" s="53"/>
      <c r="N88" s="53"/>
    </row>
    <row r="89" spans="1:14" x14ac:dyDescent="0.4">
      <c r="A89" s="2"/>
      <c r="B89" s="394"/>
      <c r="C89" s="21" t="s">
        <v>583</v>
      </c>
      <c r="D89" s="54">
        <v>31.78</v>
      </c>
      <c r="E89" s="55">
        <f>61.8/E83</f>
        <v>-12.409638554216865</v>
      </c>
      <c r="F89" s="55">
        <f>49/F83</f>
        <v>-11.893203883495145</v>
      </c>
      <c r="G89" s="52">
        <v>0</v>
      </c>
      <c r="H89" s="53"/>
      <c r="I89" s="53"/>
      <c r="J89" s="53"/>
      <c r="K89" s="53"/>
      <c r="L89" s="53"/>
      <c r="M89" s="53"/>
      <c r="N89" s="53"/>
    </row>
    <row r="90" spans="1:14" x14ac:dyDescent="0.4">
      <c r="A90" s="2"/>
      <c r="B90" s="394"/>
      <c r="C90" s="21" t="s">
        <v>584</v>
      </c>
      <c r="D90" s="54">
        <v>41.11</v>
      </c>
      <c r="E90" s="55">
        <f>1908.5/E84</f>
        <v>85.200892857142861</v>
      </c>
      <c r="F90" s="55">
        <f>1473.75/F84</f>
        <v>96.957236842105274</v>
      </c>
      <c r="G90" s="52" t="s">
        <v>806</v>
      </c>
      <c r="H90" s="53"/>
      <c r="I90" s="53"/>
      <c r="J90" s="53"/>
      <c r="K90" s="53"/>
      <c r="L90" s="53"/>
      <c r="M90" s="53"/>
      <c r="N90" s="53"/>
    </row>
    <row r="91" spans="1:14" x14ac:dyDescent="0.4">
      <c r="A91" s="2"/>
      <c r="B91" s="394"/>
      <c r="C91" s="3" t="s">
        <v>74</v>
      </c>
      <c r="D91" s="132">
        <f>SUM(D88:D90)/3</f>
        <v>41.58</v>
      </c>
      <c r="E91" s="132">
        <f>SUM(E88:E90)/3</f>
        <v>40.540554553217049</v>
      </c>
      <c r="F91" s="132">
        <f>SUM(F88:F90)/3</f>
        <v>49.833757874170182</v>
      </c>
      <c r="G91" s="52"/>
      <c r="H91" s="53"/>
      <c r="I91" s="53"/>
      <c r="J91" s="53"/>
      <c r="K91" s="53"/>
      <c r="L91" s="53"/>
      <c r="M91" s="53"/>
      <c r="N91" s="53"/>
    </row>
    <row r="92" spans="1:14" x14ac:dyDescent="0.35">
      <c r="A92" s="2"/>
      <c r="B92" s="394" t="s">
        <v>76</v>
      </c>
      <c r="C92" s="3" t="s">
        <v>581</v>
      </c>
      <c r="D92" s="65">
        <v>13.76</v>
      </c>
      <c r="E92" s="145">
        <f>397.52/2571.27*100</f>
        <v>15.460064481754152</v>
      </c>
      <c r="F92" s="145">
        <f>278.87/2852.47*100</f>
        <v>9.7764393665840483</v>
      </c>
      <c r="G92" s="52"/>
      <c r="H92" s="53"/>
      <c r="I92" s="53"/>
      <c r="J92" s="53"/>
      <c r="K92" s="53"/>
      <c r="L92" s="53"/>
      <c r="M92" s="53"/>
      <c r="N92" s="53"/>
    </row>
    <row r="93" spans="1:14" x14ac:dyDescent="0.4">
      <c r="A93" s="2"/>
      <c r="B93" s="394"/>
      <c r="C93" s="3" t="s">
        <v>73</v>
      </c>
      <c r="D93" s="54"/>
      <c r="E93" s="52"/>
      <c r="F93" s="52"/>
      <c r="G93" s="52"/>
      <c r="H93" s="53"/>
      <c r="I93" s="53"/>
      <c r="J93" s="53"/>
      <c r="K93" s="53"/>
      <c r="L93" s="53"/>
      <c r="M93" s="53"/>
      <c r="N93" s="53"/>
    </row>
    <row r="94" spans="1:14" x14ac:dyDescent="0.4">
      <c r="A94" s="2"/>
      <c r="B94" s="394"/>
      <c r="C94" s="21" t="s">
        <v>582</v>
      </c>
      <c r="D94" s="54">
        <v>24.8</v>
      </c>
      <c r="E94" s="145">
        <f>955.19/3563.93*100</f>
        <v>26.801592623873088</v>
      </c>
      <c r="F94" s="145">
        <f>979.44/4186.72*100</f>
        <v>23.393969503573203</v>
      </c>
      <c r="G94" s="52">
        <v>26.07</v>
      </c>
      <c r="H94" s="53"/>
      <c r="I94" s="53"/>
      <c r="J94" s="53"/>
      <c r="K94" s="53"/>
      <c r="L94" s="53"/>
      <c r="M94" s="53"/>
      <c r="N94" s="53"/>
    </row>
    <row r="95" spans="1:14" x14ac:dyDescent="0.4">
      <c r="A95" s="2"/>
      <c r="B95" s="394"/>
      <c r="C95" s="21" t="s">
        <v>583</v>
      </c>
      <c r="D95" s="54">
        <v>0.33</v>
      </c>
      <c r="E95" s="145">
        <f>1063.51/27768.22*100</f>
        <v>3.8299538105071189</v>
      </c>
      <c r="F95" s="145">
        <f>-879.69/26833.11*100</f>
        <v>-3.278375111941926</v>
      </c>
      <c r="G95" s="52">
        <v>-5.39</v>
      </c>
      <c r="H95" s="53"/>
      <c r="I95" s="53"/>
      <c r="J95" s="53"/>
      <c r="K95" s="53"/>
      <c r="L95" s="53"/>
      <c r="M95" s="53"/>
      <c r="N95" s="53"/>
    </row>
    <row r="96" spans="1:14" x14ac:dyDescent="0.4">
      <c r="A96" s="2"/>
      <c r="B96" s="394"/>
      <c r="C96" s="21" t="s">
        <v>584</v>
      </c>
      <c r="D96" s="54">
        <v>-1.1100000000000001</v>
      </c>
      <c r="E96" s="145">
        <f>2465/13438.8*100</f>
        <v>18.342411524838528</v>
      </c>
      <c r="F96" s="145">
        <f>659.9/14128.9*100</f>
        <v>4.6705688340918261</v>
      </c>
      <c r="G96" s="52" t="s">
        <v>806</v>
      </c>
      <c r="H96" s="53"/>
      <c r="I96" s="53"/>
      <c r="J96" s="53"/>
      <c r="K96" s="53"/>
      <c r="L96" s="53"/>
      <c r="M96" s="53"/>
      <c r="N96" s="53"/>
    </row>
    <row r="97" spans="1:14" x14ac:dyDescent="0.4">
      <c r="A97" s="2"/>
      <c r="B97" s="394"/>
      <c r="C97" s="3" t="s">
        <v>74</v>
      </c>
      <c r="D97" s="132">
        <f>SUM(D94:D96)/3</f>
        <v>8.0066666666666659</v>
      </c>
      <c r="E97" s="132">
        <f>SUM(E94:E96)/3</f>
        <v>16.324652653072913</v>
      </c>
      <c r="F97" s="132">
        <f>SUM(F94:F96)/3</f>
        <v>8.2620544085743663</v>
      </c>
      <c r="G97" s="52"/>
      <c r="H97" s="53"/>
      <c r="I97" s="53"/>
      <c r="J97" s="53"/>
      <c r="K97" s="57"/>
      <c r="L97" s="53"/>
      <c r="M97" s="53"/>
      <c r="N97" s="53"/>
    </row>
    <row r="98" spans="1:14" x14ac:dyDescent="0.35">
      <c r="A98" s="2"/>
      <c r="B98" s="394" t="s">
        <v>77</v>
      </c>
      <c r="C98" s="3" t="s">
        <v>581</v>
      </c>
      <c r="D98" s="65">
        <v>176.63</v>
      </c>
      <c r="E98" s="55">
        <f>2571.27/102.38</f>
        <v>25.114963860128931</v>
      </c>
      <c r="F98" s="55">
        <f>2852.47*100000/10238100</f>
        <v>27.861321924966546</v>
      </c>
      <c r="G98" s="52"/>
      <c r="H98" s="53"/>
      <c r="I98" s="53"/>
      <c r="J98" s="53"/>
      <c r="K98" s="53"/>
      <c r="L98" s="53"/>
      <c r="M98" s="53"/>
      <c r="N98" s="53"/>
    </row>
    <row r="99" spans="1:14" x14ac:dyDescent="0.4">
      <c r="A99" s="2"/>
      <c r="B99" s="394"/>
      <c r="C99" s="3" t="s">
        <v>73</v>
      </c>
      <c r="D99" s="54"/>
      <c r="E99" s="52"/>
      <c r="F99" s="52"/>
      <c r="G99" s="52"/>
      <c r="H99" s="53"/>
      <c r="I99" s="53"/>
      <c r="J99" s="53"/>
      <c r="K99" s="53"/>
      <c r="L99" s="53"/>
      <c r="M99" s="53"/>
      <c r="N99" s="53"/>
    </row>
    <row r="100" spans="1:14" x14ac:dyDescent="0.4">
      <c r="A100" s="2"/>
      <c r="B100" s="411"/>
      <c r="C100" s="21" t="s">
        <v>582</v>
      </c>
      <c r="D100" s="54">
        <v>75.95</v>
      </c>
      <c r="E100" s="55">
        <f>3563.93/50.78</f>
        <v>70.183733753446234</v>
      </c>
      <c r="F100" s="55">
        <f>(4186.72*10000000)/(50.8*1000000)</f>
        <v>824.15748031496059</v>
      </c>
      <c r="G100" s="52">
        <v>87.48</v>
      </c>
      <c r="H100" s="53"/>
      <c r="I100" s="53"/>
      <c r="J100" s="53"/>
      <c r="K100" s="53"/>
      <c r="L100" s="53"/>
      <c r="M100" s="53"/>
      <c r="N100" s="53"/>
    </row>
    <row r="101" spans="1:14" x14ac:dyDescent="0.4">
      <c r="A101" s="2"/>
      <c r="B101" s="411"/>
      <c r="C101" s="21" t="s">
        <v>583</v>
      </c>
      <c r="D101" s="54">
        <v>143.91</v>
      </c>
      <c r="E101" s="55">
        <f>27768.22/2134.23</f>
        <v>13.010884487613801</v>
      </c>
      <c r="F101" s="55">
        <f>26833.11*100000/21342300</f>
        <v>125.72735834469574</v>
      </c>
      <c r="G101" s="52">
        <v>129.30000000000001</v>
      </c>
      <c r="H101" s="53"/>
      <c r="I101" s="53"/>
      <c r="J101" s="53"/>
      <c r="K101" s="53"/>
      <c r="L101" s="53"/>
      <c r="M101" s="53"/>
      <c r="N101" s="53"/>
    </row>
    <row r="102" spans="1:14" x14ac:dyDescent="0.4">
      <c r="A102" s="2"/>
      <c r="B102" s="411"/>
      <c r="C102" s="21" t="s">
        <v>584</v>
      </c>
      <c r="D102" s="54">
        <v>294.48</v>
      </c>
      <c r="E102" s="55">
        <f>13438.8/432.9</f>
        <v>31.043659043659044</v>
      </c>
      <c r="F102" s="55">
        <f>14128.9*1000000/43290000</f>
        <v>326.37791637791639</v>
      </c>
      <c r="G102" s="52" t="s">
        <v>806</v>
      </c>
      <c r="H102" s="53"/>
      <c r="I102" s="53"/>
      <c r="J102" s="53"/>
      <c r="K102" s="53"/>
      <c r="L102" s="53"/>
      <c r="M102" s="53"/>
      <c r="N102" s="53"/>
    </row>
    <row r="103" spans="1:14" x14ac:dyDescent="0.4">
      <c r="A103" s="2"/>
      <c r="B103" s="411"/>
      <c r="C103" s="3" t="s">
        <v>74</v>
      </c>
      <c r="D103" s="132">
        <f>SUM(D100:D102)/3</f>
        <v>171.44666666666669</v>
      </c>
      <c r="E103" s="132">
        <f>SUM(E100:E102)/3</f>
        <v>38.079425761573027</v>
      </c>
      <c r="F103" s="132">
        <f>SUM(F100:F102)/3</f>
        <v>425.42091834585761</v>
      </c>
      <c r="G103" s="66"/>
      <c r="H103" s="53"/>
      <c r="I103" s="53"/>
      <c r="J103" s="53"/>
      <c r="K103" s="53"/>
      <c r="L103" s="53"/>
      <c r="M103" s="53"/>
      <c r="N103" s="53"/>
    </row>
    <row r="104" spans="1:14" s="1" customFormat="1" x14ac:dyDescent="0.4">
      <c r="B104" s="412"/>
      <c r="C104" s="413"/>
      <c r="D104" s="413"/>
      <c r="E104" s="413"/>
      <c r="F104" s="413"/>
      <c r="G104" s="414"/>
    </row>
    <row r="105" spans="1:14" x14ac:dyDescent="0.4">
      <c r="A105" s="2"/>
      <c r="B105" s="415" t="s">
        <v>585</v>
      </c>
      <c r="C105" s="416"/>
      <c r="D105" s="416"/>
      <c r="E105" s="416"/>
      <c r="F105" s="416"/>
      <c r="G105" s="417"/>
      <c r="H105" s="53"/>
      <c r="I105" s="53"/>
      <c r="J105" s="53"/>
      <c r="K105" s="53"/>
      <c r="L105" s="53"/>
      <c r="M105" s="53"/>
      <c r="N105" s="53"/>
    </row>
    <row r="106" spans="1:14" x14ac:dyDescent="0.4">
      <c r="A106" s="2"/>
      <c r="B106" s="418" t="s">
        <v>85</v>
      </c>
      <c r="C106" s="419"/>
      <c r="D106" s="419"/>
      <c r="E106" s="419"/>
      <c r="F106" s="419"/>
      <c r="G106" s="420"/>
      <c r="H106" s="53"/>
      <c r="I106" s="53"/>
      <c r="J106" s="53"/>
      <c r="K106" s="53"/>
      <c r="L106" s="53"/>
      <c r="M106" s="53"/>
      <c r="N106" s="53"/>
    </row>
    <row r="107" spans="1:14" x14ac:dyDescent="0.4">
      <c r="A107" s="2"/>
      <c r="B107" s="363"/>
      <c r="C107" s="368"/>
      <c r="D107" s="368"/>
      <c r="E107" s="368"/>
      <c r="F107" s="368"/>
      <c r="G107" s="369"/>
      <c r="H107" s="53"/>
      <c r="I107" s="53"/>
      <c r="J107" s="53"/>
      <c r="K107" s="53"/>
      <c r="L107" s="53"/>
      <c r="M107" s="53"/>
      <c r="N107" s="53"/>
    </row>
    <row r="108" spans="1:14" x14ac:dyDescent="0.4">
      <c r="C108" s="407"/>
      <c r="D108" s="407"/>
      <c r="E108" s="407"/>
      <c r="F108" s="407"/>
      <c r="G108" s="407"/>
      <c r="H108" s="53"/>
      <c r="I108" s="53"/>
    </row>
    <row r="109" spans="1:14" x14ac:dyDescent="0.4">
      <c r="A109" s="9">
        <v>14</v>
      </c>
      <c r="B109" s="61" t="s">
        <v>78</v>
      </c>
      <c r="C109" s="356" t="s">
        <v>41</v>
      </c>
      <c r="D109" s="357"/>
      <c r="E109" s="357"/>
      <c r="F109" s="357"/>
      <c r="G109" s="408"/>
    </row>
    <row r="110" spans="1:14" x14ac:dyDescent="0.4">
      <c r="A110" s="23"/>
      <c r="C110" s="69"/>
      <c r="D110" s="69"/>
      <c r="E110" s="104"/>
      <c r="F110" s="69"/>
      <c r="G110" s="69"/>
    </row>
    <row r="111" spans="1:14" x14ac:dyDescent="0.4">
      <c r="B111" s="409" t="s">
        <v>586</v>
      </c>
      <c r="C111" s="410"/>
      <c r="D111" s="410"/>
      <c r="E111" s="410"/>
      <c r="F111" s="410"/>
      <c r="G111" s="410"/>
      <c r="H111" s="410"/>
    </row>
  </sheetData>
  <sheetProtection password="EB7F" sheet="1" objects="1" scenarios="1"/>
  <mergeCells count="58">
    <mergeCell ref="B111:H111"/>
    <mergeCell ref="B104:G104"/>
    <mergeCell ref="B105:G105"/>
    <mergeCell ref="B106:G106"/>
    <mergeCell ref="B107:G107"/>
    <mergeCell ref="C108:G108"/>
    <mergeCell ref="C109:G109"/>
    <mergeCell ref="B74:N74"/>
    <mergeCell ref="B75:N75"/>
    <mergeCell ref="B77:G77"/>
    <mergeCell ref="B80:B85"/>
    <mergeCell ref="B86:B91"/>
    <mergeCell ref="B92:B97"/>
    <mergeCell ref="B98:B103"/>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P115"/>
  <sheetViews>
    <sheetView workbookViewId="0">
      <selection activeCell="B75" sqref="B75:N75"/>
    </sheetView>
  </sheetViews>
  <sheetFormatPr defaultColWidth="8.84375" defaultRowHeight="13.25" x14ac:dyDescent="0.4"/>
  <cols>
    <col min="1" max="1" width="8.84375" style="8"/>
    <col min="2" max="2" width="40.84375" style="8" customWidth="1"/>
    <col min="3" max="3" width="43.4609375" style="8" customWidth="1"/>
    <col min="4" max="4" width="41" style="8" customWidth="1"/>
    <col min="5" max="5" width="22.3046875" style="8" customWidth="1"/>
    <col min="6" max="6" width="19.84375" style="8" customWidth="1"/>
    <col min="7" max="7" width="22.3046875" style="8" customWidth="1"/>
    <col min="8" max="16384" width="8.84375" style="8"/>
  </cols>
  <sheetData>
    <row r="1" spans="1:5" x14ac:dyDescent="0.4">
      <c r="A1" s="355" t="s">
        <v>0</v>
      </c>
      <c r="B1" s="355"/>
      <c r="D1" s="1"/>
    </row>
    <row r="3" spans="1:5" x14ac:dyDescent="0.4">
      <c r="A3" s="2" t="s">
        <v>1</v>
      </c>
      <c r="B3" s="3" t="s">
        <v>2</v>
      </c>
      <c r="C3" s="4" t="s">
        <v>587</v>
      </c>
    </row>
    <row r="4" spans="1:5" x14ac:dyDescent="0.4">
      <c r="D4" s="5"/>
    </row>
    <row r="5" spans="1:5" x14ac:dyDescent="0.4">
      <c r="A5" s="6">
        <v>1</v>
      </c>
      <c r="B5" s="7" t="s">
        <v>3</v>
      </c>
      <c r="C5" s="356" t="s">
        <v>90</v>
      </c>
      <c r="D5" s="357"/>
      <c r="E5" s="358"/>
    </row>
    <row r="6" spans="1:5" x14ac:dyDescent="0.4">
      <c r="A6" s="9"/>
      <c r="B6" s="359" t="s">
        <v>5</v>
      </c>
      <c r="C6" s="359"/>
      <c r="D6" s="359"/>
      <c r="E6" s="10"/>
    </row>
    <row r="7" spans="1:5" x14ac:dyDescent="0.4">
      <c r="A7" s="9"/>
      <c r="B7" s="11"/>
      <c r="D7" s="5"/>
    </row>
    <row r="8" spans="1:5" x14ac:dyDescent="0.4">
      <c r="A8" s="9">
        <v>2</v>
      </c>
      <c r="B8" s="7" t="s">
        <v>6</v>
      </c>
      <c r="C8" s="12" t="s">
        <v>588</v>
      </c>
      <c r="D8" s="5"/>
    </row>
    <row r="9" spans="1:5" x14ac:dyDescent="0.4">
      <c r="A9" s="9"/>
      <c r="B9" s="360" t="s">
        <v>5</v>
      </c>
      <c r="C9" s="361"/>
      <c r="D9" s="362"/>
    </row>
    <row r="10" spans="1:5" x14ac:dyDescent="0.4">
      <c r="A10" s="9"/>
      <c r="B10" s="11"/>
      <c r="D10" s="5"/>
    </row>
    <row r="11" spans="1:5" x14ac:dyDescent="0.4">
      <c r="A11" s="9">
        <v>3</v>
      </c>
      <c r="B11" s="7" t="s">
        <v>7</v>
      </c>
      <c r="C11" s="356" t="s">
        <v>8</v>
      </c>
      <c r="D11" s="357"/>
      <c r="E11" s="358"/>
    </row>
    <row r="12" spans="1:5" x14ac:dyDescent="0.4">
      <c r="A12" s="9"/>
      <c r="B12" s="359" t="s">
        <v>5</v>
      </c>
      <c r="C12" s="359"/>
      <c r="D12" s="359"/>
      <c r="E12" s="10"/>
    </row>
    <row r="13" spans="1:5" x14ac:dyDescent="0.4">
      <c r="A13" s="9"/>
      <c r="B13" s="11"/>
      <c r="D13" s="5"/>
    </row>
    <row r="14" spans="1:5" x14ac:dyDescent="0.4">
      <c r="A14" s="9">
        <v>4</v>
      </c>
      <c r="B14" s="3" t="s">
        <v>9</v>
      </c>
      <c r="C14" s="4" t="s">
        <v>589</v>
      </c>
      <c r="D14" s="5"/>
    </row>
    <row r="15" spans="1:5"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574</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447" t="s">
        <v>13</v>
      </c>
      <c r="D22" s="447"/>
      <c r="E22" s="447"/>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ht="12.7" customHeight="1" x14ac:dyDescent="0.4">
      <c r="A29" s="9"/>
      <c r="B29" s="19" t="s">
        <v>24</v>
      </c>
      <c r="C29" s="20">
        <v>8025.78</v>
      </c>
      <c r="D29" s="20">
        <v>10088.43</v>
      </c>
      <c r="E29" s="20">
        <v>11467.52</v>
      </c>
      <c r="F29" s="15"/>
    </row>
    <row r="30" spans="1:14" x14ac:dyDescent="0.4">
      <c r="A30" s="9"/>
      <c r="B30" s="19" t="s">
        <v>25</v>
      </c>
      <c r="C30" s="20">
        <v>460.57</v>
      </c>
      <c r="D30" s="20">
        <v>474.61</v>
      </c>
      <c r="E30" s="20">
        <v>796.52</v>
      </c>
      <c r="F30" s="15"/>
    </row>
    <row r="31" spans="1:14" x14ac:dyDescent="0.4">
      <c r="A31" s="9"/>
      <c r="B31" s="19" t="s">
        <v>26</v>
      </c>
      <c r="C31" s="20">
        <v>1364.5</v>
      </c>
      <c r="D31" s="20">
        <v>1364.5</v>
      </c>
      <c r="E31" s="20">
        <v>1364.5</v>
      </c>
      <c r="F31" s="15" t="s">
        <v>693</v>
      </c>
    </row>
    <row r="32" spans="1:14" x14ac:dyDescent="0.4">
      <c r="A32" s="9"/>
      <c r="B32" s="19" t="s">
        <v>27</v>
      </c>
      <c r="C32" s="20">
        <v>2725.11</v>
      </c>
      <c r="D32" s="20">
        <v>3201.18</v>
      </c>
      <c r="E32" s="20">
        <v>3874.33</v>
      </c>
      <c r="F32" s="15"/>
    </row>
    <row r="33" spans="1:10" x14ac:dyDescent="0.4">
      <c r="A33" s="9"/>
      <c r="B33" s="363" t="s">
        <v>590</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94</v>
      </c>
      <c r="C39" s="359"/>
      <c r="D39" s="13"/>
      <c r="E39" s="13"/>
      <c r="F39" s="13" t="s">
        <v>693</v>
      </c>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560</v>
      </c>
      <c r="D43" s="374"/>
      <c r="E43" s="375"/>
      <c r="F43" s="13"/>
    </row>
    <row r="44" spans="1:10" x14ac:dyDescent="0.4">
      <c r="A44" s="9"/>
      <c r="B44" s="17" t="s">
        <v>31</v>
      </c>
      <c r="C44" s="373" t="s">
        <v>560</v>
      </c>
      <c r="D44" s="374"/>
      <c r="E44" s="375"/>
      <c r="F44" s="13"/>
    </row>
    <row r="45" spans="1:10" ht="30.05" customHeight="1" x14ac:dyDescent="0.4">
      <c r="A45" s="9"/>
      <c r="B45" s="17" t="s">
        <v>32</v>
      </c>
      <c r="C45" s="446" t="s">
        <v>804</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79.55" x14ac:dyDescent="0.4">
      <c r="A50" s="29"/>
      <c r="B50" s="78" t="s">
        <v>307</v>
      </c>
      <c r="C50" s="78" t="s">
        <v>591</v>
      </c>
      <c r="D50" s="112" t="s">
        <v>660</v>
      </c>
      <c r="E50" s="78" t="s">
        <v>83</v>
      </c>
    </row>
    <row r="51" spans="1:14" x14ac:dyDescent="0.4">
      <c r="A51" s="31"/>
      <c r="B51" s="380" t="s">
        <v>661</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ht="48.7" customHeight="1" x14ac:dyDescent="0.4">
      <c r="A54" s="29"/>
      <c r="B54" s="383" t="s">
        <v>43</v>
      </c>
      <c r="C54" s="385" t="s">
        <v>662</v>
      </c>
      <c r="D54" s="386"/>
      <c r="E54" s="387"/>
      <c r="K54" s="1"/>
    </row>
    <row r="55" spans="1:14" x14ac:dyDescent="0.4">
      <c r="A55" s="29"/>
      <c r="B55" s="384"/>
      <c r="C55" s="388"/>
      <c r="D55" s="389"/>
      <c r="E55" s="390"/>
      <c r="K55" s="1"/>
    </row>
    <row r="56" spans="1:14" ht="70.45" customHeight="1" x14ac:dyDescent="0.4">
      <c r="A56" s="24"/>
      <c r="B56" s="33" t="s">
        <v>44</v>
      </c>
      <c r="C56" s="391" t="s">
        <v>663</v>
      </c>
      <c r="D56" s="391"/>
      <c r="E56" s="391"/>
    </row>
    <row r="57" spans="1:14" x14ac:dyDescent="0.4">
      <c r="A57" s="29"/>
      <c r="B57" s="33" t="s">
        <v>45</v>
      </c>
      <c r="C57" s="391" t="s">
        <v>46</v>
      </c>
      <c r="D57" s="391"/>
      <c r="E57" s="391"/>
      <c r="K57" s="34"/>
    </row>
    <row r="58" spans="1:14" x14ac:dyDescent="0.4">
      <c r="A58" s="29"/>
      <c r="B58" s="380" t="s">
        <v>664</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43"/>
      <c r="F63" s="43"/>
      <c r="G63" s="11"/>
      <c r="H63" s="11"/>
      <c r="I63" s="11"/>
      <c r="J63" s="11"/>
      <c r="K63" s="11"/>
      <c r="L63" s="11"/>
      <c r="M63" s="11"/>
      <c r="N63" s="11"/>
    </row>
    <row r="64" spans="1:14" x14ac:dyDescent="0.4">
      <c r="A64" s="9"/>
      <c r="B64" s="11"/>
      <c r="C64" s="11"/>
      <c r="D64" s="11"/>
      <c r="E64" s="11"/>
      <c r="F64" s="11"/>
      <c r="G64" s="11"/>
      <c r="H64" s="11"/>
      <c r="I64" s="11"/>
      <c r="J64" s="11"/>
      <c r="K64" s="11"/>
      <c r="L64" s="11"/>
      <c r="M64" s="11"/>
      <c r="N64" s="11"/>
    </row>
    <row r="65" spans="1:16" x14ac:dyDescent="0.4">
      <c r="A65" s="9"/>
      <c r="B65" s="17" t="s">
        <v>52</v>
      </c>
      <c r="C65" s="19" t="s">
        <v>592</v>
      </c>
      <c r="D65" s="15"/>
      <c r="E65" s="15"/>
      <c r="F65" s="44"/>
      <c r="G65" s="44"/>
      <c r="H65" s="15"/>
      <c r="I65" s="15"/>
      <c r="J65" s="15"/>
      <c r="K65" s="15"/>
      <c r="L65" s="15"/>
      <c r="M65" s="15"/>
      <c r="N65" s="15"/>
    </row>
    <row r="66" spans="1:16" x14ac:dyDescent="0.4">
      <c r="A66" s="9"/>
      <c r="B66" s="15"/>
      <c r="C66" s="15"/>
      <c r="D66" s="15"/>
      <c r="E66" s="15"/>
      <c r="F66" s="15"/>
      <c r="G66" s="15"/>
      <c r="H66" s="15"/>
      <c r="I66" s="15"/>
      <c r="J66" s="15"/>
      <c r="K66" s="15"/>
      <c r="L66" s="15"/>
      <c r="M66" s="15"/>
      <c r="N66" s="15"/>
    </row>
    <row r="67" spans="1:16" x14ac:dyDescent="0.4">
      <c r="A67" s="9"/>
      <c r="B67" s="365" t="s">
        <v>53</v>
      </c>
      <c r="C67" s="366" t="s">
        <v>593</v>
      </c>
      <c r="D67" s="366" t="s">
        <v>271</v>
      </c>
      <c r="E67" s="403" t="s">
        <v>232</v>
      </c>
      <c r="F67" s="395" t="s">
        <v>594</v>
      </c>
      <c r="G67" s="396"/>
      <c r="H67" s="397"/>
      <c r="I67" s="398" t="s">
        <v>55</v>
      </c>
      <c r="J67" s="398"/>
      <c r="K67" s="398"/>
      <c r="L67" s="398" t="s">
        <v>56</v>
      </c>
      <c r="M67" s="398"/>
      <c r="N67" s="398"/>
    </row>
    <row r="68" spans="1:16"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6" x14ac:dyDescent="0.4">
      <c r="A69" s="2"/>
      <c r="B69" s="17" t="s">
        <v>103</v>
      </c>
      <c r="C69" s="45">
        <v>49.05</v>
      </c>
      <c r="D69" s="46">
        <v>48</v>
      </c>
      <c r="E69" s="46">
        <v>45</v>
      </c>
      <c r="F69" s="46">
        <v>49.5</v>
      </c>
      <c r="G69" s="46">
        <v>56.05</v>
      </c>
      <c r="H69" s="45">
        <v>41.3</v>
      </c>
      <c r="I69" s="45">
        <v>36.799999999999997</v>
      </c>
      <c r="J69" s="45">
        <v>53</v>
      </c>
      <c r="K69" s="45">
        <v>22.05</v>
      </c>
      <c r="L69" s="45">
        <v>34.65</v>
      </c>
      <c r="M69" s="45">
        <v>43.75</v>
      </c>
      <c r="N69" s="45">
        <v>21.1</v>
      </c>
    </row>
    <row r="70" spans="1:16" ht="25.65" x14ac:dyDescent="0.4">
      <c r="A70" s="2"/>
      <c r="B70" s="17" t="s">
        <v>104</v>
      </c>
      <c r="C70" s="45">
        <v>9998.0499999999993</v>
      </c>
      <c r="D70" s="45">
        <v>10584.7</v>
      </c>
      <c r="E70" s="45">
        <v>10741.1</v>
      </c>
      <c r="F70" s="46">
        <v>10113.700000000001</v>
      </c>
      <c r="G70" s="46">
        <v>9075.15</v>
      </c>
      <c r="H70" s="115">
        <v>11075.95</v>
      </c>
      <c r="I70" s="45">
        <v>11623.9</v>
      </c>
      <c r="J70" s="45">
        <v>11760.2</v>
      </c>
      <c r="K70" s="45">
        <v>10004.549999999999</v>
      </c>
      <c r="L70" s="45">
        <v>8597.75</v>
      </c>
      <c r="M70" s="45">
        <v>12430.5</v>
      </c>
      <c r="N70" s="45">
        <v>7511.1</v>
      </c>
    </row>
    <row r="71" spans="1:16" x14ac:dyDescent="0.4">
      <c r="A71" s="2"/>
      <c r="B71" s="401" t="s">
        <v>94</v>
      </c>
      <c r="C71" s="401"/>
      <c r="D71" s="401"/>
      <c r="E71" s="401"/>
      <c r="F71" s="401"/>
      <c r="G71" s="401"/>
      <c r="H71" s="401"/>
      <c r="I71" s="401"/>
      <c r="J71" s="401"/>
      <c r="K71" s="401"/>
      <c r="L71" s="401"/>
      <c r="M71" s="401"/>
      <c r="N71" s="401"/>
    </row>
    <row r="72" spans="1:16" x14ac:dyDescent="0.4">
      <c r="A72" s="2"/>
      <c r="B72" s="359" t="s">
        <v>63</v>
      </c>
      <c r="C72" s="359"/>
      <c r="D72" s="359"/>
      <c r="E72" s="359"/>
      <c r="F72" s="359"/>
      <c r="G72" s="359"/>
      <c r="H72" s="359"/>
      <c r="I72" s="359"/>
      <c r="J72" s="359"/>
      <c r="K72" s="359"/>
      <c r="L72" s="359"/>
      <c r="M72" s="359"/>
      <c r="N72" s="359"/>
    </row>
    <row r="73" spans="1:16" s="1" customFormat="1" x14ac:dyDescent="0.4">
      <c r="B73" s="359" t="s">
        <v>64</v>
      </c>
      <c r="C73" s="359"/>
      <c r="D73" s="359"/>
      <c r="E73" s="359"/>
      <c r="F73" s="359"/>
      <c r="G73" s="359"/>
      <c r="H73" s="359"/>
      <c r="I73" s="359"/>
      <c r="J73" s="359"/>
      <c r="K73" s="359"/>
      <c r="L73" s="359"/>
      <c r="M73" s="359"/>
      <c r="N73" s="359"/>
      <c r="P73" s="1" t="s">
        <v>693</v>
      </c>
    </row>
    <row r="74" spans="1:16" x14ac:dyDescent="0.4">
      <c r="A74" s="2"/>
      <c r="B74" s="359" t="s">
        <v>358</v>
      </c>
      <c r="C74" s="359"/>
      <c r="D74" s="359"/>
      <c r="E74" s="359"/>
      <c r="F74" s="359"/>
      <c r="G74" s="359"/>
      <c r="H74" s="359"/>
      <c r="I74" s="359"/>
      <c r="J74" s="359"/>
      <c r="K74" s="359"/>
      <c r="L74" s="359"/>
      <c r="M74" s="359"/>
      <c r="N74" s="359"/>
    </row>
    <row r="75" spans="1:16" x14ac:dyDescent="0.4">
      <c r="A75" s="2"/>
      <c r="B75" s="359" t="s">
        <v>65</v>
      </c>
      <c r="C75" s="359"/>
      <c r="D75" s="359"/>
      <c r="E75" s="359"/>
      <c r="F75" s="359"/>
      <c r="G75" s="359"/>
      <c r="H75" s="359"/>
      <c r="I75" s="359"/>
      <c r="J75" s="359"/>
      <c r="K75" s="359"/>
      <c r="L75" s="359"/>
      <c r="M75" s="359"/>
      <c r="N75" s="359"/>
    </row>
    <row r="76" spans="1:16" x14ac:dyDescent="0.4">
      <c r="A76" s="2"/>
      <c r="B76" s="49"/>
      <c r="C76" s="49"/>
      <c r="D76" s="49"/>
      <c r="E76" s="49"/>
      <c r="F76" s="49"/>
      <c r="G76" s="13"/>
      <c r="H76" s="13"/>
      <c r="I76" s="13"/>
      <c r="J76" s="13"/>
      <c r="K76" s="13"/>
      <c r="L76" s="13"/>
      <c r="M76" s="13"/>
      <c r="N76" s="13"/>
    </row>
    <row r="77" spans="1:16" x14ac:dyDescent="0.4">
      <c r="A77" s="9">
        <v>13</v>
      </c>
      <c r="B77" s="405" t="s">
        <v>66</v>
      </c>
      <c r="C77" s="406"/>
      <c r="D77" s="406"/>
      <c r="E77" s="406"/>
      <c r="F77" s="406"/>
      <c r="G77" s="376"/>
      <c r="H77" s="11"/>
      <c r="I77" s="11"/>
      <c r="J77" s="11"/>
      <c r="K77" s="11"/>
      <c r="L77" s="11"/>
      <c r="M77" s="11"/>
      <c r="N77" s="11"/>
    </row>
    <row r="78" spans="1:16" x14ac:dyDescent="0.4">
      <c r="A78" s="9"/>
      <c r="C78" s="15"/>
      <c r="D78" s="15"/>
      <c r="E78" s="15"/>
      <c r="F78" s="15"/>
      <c r="G78" s="15"/>
      <c r="H78" s="15"/>
      <c r="I78" s="15"/>
      <c r="J78" s="15"/>
      <c r="K78" s="15"/>
      <c r="L78" s="15"/>
      <c r="M78" s="15"/>
      <c r="N78" s="15"/>
    </row>
    <row r="79" spans="1:16" ht="38.450000000000003" x14ac:dyDescent="0.4">
      <c r="A79" s="2"/>
      <c r="B79" s="50" t="s">
        <v>67</v>
      </c>
      <c r="C79" s="18" t="s">
        <v>68</v>
      </c>
      <c r="D79" s="18" t="s">
        <v>69</v>
      </c>
      <c r="E79" s="18" t="s">
        <v>595</v>
      </c>
      <c r="F79" s="18" t="s">
        <v>71</v>
      </c>
      <c r="G79" s="18" t="s">
        <v>107</v>
      </c>
      <c r="H79" s="13"/>
      <c r="I79" s="13"/>
      <c r="J79" s="13"/>
      <c r="K79" s="13"/>
      <c r="L79" s="13"/>
      <c r="M79" s="13"/>
      <c r="N79" s="13"/>
    </row>
    <row r="80" spans="1:16" x14ac:dyDescent="0.35">
      <c r="A80" s="2"/>
      <c r="B80" s="394" t="s">
        <v>72</v>
      </c>
      <c r="C80" s="3" t="s">
        <v>596</v>
      </c>
      <c r="D80" s="65">
        <v>2.82</v>
      </c>
      <c r="E80" s="52">
        <v>4.93</v>
      </c>
      <c r="F80" s="52">
        <v>3.48</v>
      </c>
      <c r="G80" s="52"/>
      <c r="H80" s="53"/>
      <c r="I80" s="53"/>
      <c r="J80" s="53"/>
      <c r="K80" s="53"/>
      <c r="L80" s="53"/>
      <c r="M80" s="53"/>
      <c r="N80" s="53"/>
    </row>
    <row r="81" spans="1:14" x14ac:dyDescent="0.4">
      <c r="A81" s="2"/>
      <c r="B81" s="394"/>
      <c r="C81" s="3" t="s">
        <v>73</v>
      </c>
      <c r="D81" s="54"/>
      <c r="E81" s="52"/>
      <c r="F81" s="52"/>
      <c r="G81" s="52"/>
      <c r="H81" s="53"/>
      <c r="I81" s="53"/>
      <c r="J81" s="53"/>
      <c r="K81" s="53"/>
      <c r="L81" s="53"/>
      <c r="M81" s="53"/>
      <c r="N81" s="53"/>
    </row>
    <row r="82" spans="1:14" x14ac:dyDescent="0.4">
      <c r="A82" s="2"/>
      <c r="B82" s="394"/>
      <c r="C82" s="21" t="s">
        <v>597</v>
      </c>
      <c r="D82" s="54">
        <v>2.94</v>
      </c>
      <c r="E82" s="52">
        <v>9.7799999999999994</v>
      </c>
      <c r="F82" s="52">
        <v>8.18</v>
      </c>
      <c r="G82" s="52" t="s">
        <v>807</v>
      </c>
      <c r="H82" s="53"/>
      <c r="I82" s="53"/>
      <c r="J82" s="53"/>
      <c r="K82" s="53"/>
      <c r="L82" s="53"/>
      <c r="M82" s="53"/>
      <c r="N82" s="53"/>
    </row>
    <row r="83" spans="1:14" x14ac:dyDescent="0.4">
      <c r="A83" s="2"/>
      <c r="B83" s="394"/>
      <c r="C83" s="21" t="s">
        <v>598</v>
      </c>
      <c r="D83" s="54">
        <v>9.75</v>
      </c>
      <c r="E83" s="52">
        <v>10.77</v>
      </c>
      <c r="F83" s="52">
        <v>6.3</v>
      </c>
      <c r="G83" s="52">
        <v>-11.85</v>
      </c>
      <c r="H83" s="53"/>
      <c r="I83" s="53"/>
      <c r="J83" s="53"/>
      <c r="K83" s="53"/>
      <c r="L83" s="53"/>
      <c r="M83" s="53"/>
      <c r="N83" s="53"/>
    </row>
    <row r="84" spans="1:14" x14ac:dyDescent="0.4">
      <c r="A84" s="2"/>
      <c r="B84" s="394"/>
      <c r="C84" s="3" t="s">
        <v>74</v>
      </c>
      <c r="D84" s="132">
        <f>SUM(D82:D83)/2</f>
        <v>6.3449999999999998</v>
      </c>
      <c r="E84" s="132">
        <f>SUM(E82:E83)/2</f>
        <v>10.274999999999999</v>
      </c>
      <c r="F84" s="132">
        <f>SUM(F82:F83)/2</f>
        <v>7.24</v>
      </c>
      <c r="G84" s="52"/>
      <c r="H84" s="53"/>
      <c r="I84" s="53"/>
      <c r="J84" s="53"/>
      <c r="K84" s="53"/>
      <c r="L84" s="53"/>
      <c r="M84" s="53"/>
      <c r="N84" s="53"/>
    </row>
    <row r="85" spans="1:14" x14ac:dyDescent="0.35">
      <c r="A85" s="2"/>
      <c r="B85" s="394" t="s">
        <v>75</v>
      </c>
      <c r="C85" s="3" t="s">
        <v>596</v>
      </c>
      <c r="D85" s="77">
        <v>19.5</v>
      </c>
      <c r="E85" s="55">
        <f>49.5/E80</f>
        <v>10.04056795131846</v>
      </c>
      <c r="F85" s="55">
        <f>I69/F80</f>
        <v>10.57471264367816</v>
      </c>
      <c r="G85" s="52"/>
      <c r="H85" s="53"/>
      <c r="I85" s="53"/>
      <c r="J85" s="53"/>
      <c r="K85" s="53"/>
      <c r="L85" s="53"/>
      <c r="M85" s="53"/>
      <c r="N85" s="53"/>
    </row>
    <row r="86" spans="1:14" x14ac:dyDescent="0.4">
      <c r="A86" s="2"/>
      <c r="B86" s="394"/>
      <c r="C86" s="3" t="s">
        <v>73</v>
      </c>
      <c r="D86" s="54"/>
      <c r="E86" s="52"/>
      <c r="F86" s="52"/>
      <c r="G86" s="52"/>
      <c r="H86" s="53"/>
      <c r="I86" s="53"/>
      <c r="J86" s="53"/>
      <c r="K86" s="53"/>
      <c r="L86" s="53"/>
      <c r="M86" s="53"/>
      <c r="N86" s="53"/>
    </row>
    <row r="87" spans="1:14" x14ac:dyDescent="0.4">
      <c r="A87" s="2"/>
      <c r="B87" s="394"/>
      <c r="C87" s="21" t="s">
        <v>597</v>
      </c>
      <c r="D87" s="54">
        <v>26.45</v>
      </c>
      <c r="E87" s="55">
        <f>82.5/9.78</f>
        <v>8.4355828220858893</v>
      </c>
      <c r="F87" s="55">
        <f>77.3/F82</f>
        <v>9.4498777506112468</v>
      </c>
      <c r="G87" s="52" t="s">
        <v>807</v>
      </c>
      <c r="H87" s="53"/>
      <c r="I87" s="53"/>
      <c r="J87" s="53"/>
      <c r="K87" s="53"/>
      <c r="L87" s="53"/>
      <c r="M87" s="53"/>
      <c r="N87" s="53"/>
    </row>
    <row r="88" spans="1:14" x14ac:dyDescent="0.4">
      <c r="A88" s="2"/>
      <c r="B88" s="394"/>
      <c r="C88" s="21" t="s">
        <v>598</v>
      </c>
      <c r="D88" s="54">
        <v>22.03</v>
      </c>
      <c r="E88" s="55">
        <f>180.15/10.77</f>
        <v>16.727019498607245</v>
      </c>
      <c r="F88" s="55">
        <f>101.45/F83</f>
        <v>16.103174603174605</v>
      </c>
      <c r="G88" s="52">
        <v>0</v>
      </c>
      <c r="H88" s="53"/>
      <c r="I88" s="53"/>
      <c r="J88" s="53"/>
      <c r="K88" s="53"/>
      <c r="L88" s="53"/>
      <c r="M88" s="53"/>
      <c r="N88" s="53"/>
    </row>
    <row r="89" spans="1:14" x14ac:dyDescent="0.4">
      <c r="A89" s="2"/>
      <c r="B89" s="394"/>
      <c r="C89" s="3" t="s">
        <v>74</v>
      </c>
      <c r="D89" s="132">
        <f>SUM(D87:D88)/2</f>
        <v>24.240000000000002</v>
      </c>
      <c r="E89" s="132">
        <f>SUM(E87:E88)/2</f>
        <v>12.581301160346566</v>
      </c>
      <c r="F89" s="132">
        <f>SUM(F87:F88)/2</f>
        <v>12.776526176892926</v>
      </c>
      <c r="G89" s="52"/>
      <c r="H89" s="53"/>
      <c r="I89" s="53"/>
      <c r="J89" s="53"/>
      <c r="K89" s="53"/>
      <c r="L89" s="53"/>
      <c r="M89" s="53"/>
      <c r="N89" s="53"/>
    </row>
    <row r="90" spans="1:14" x14ac:dyDescent="0.35">
      <c r="A90" s="2"/>
      <c r="B90" s="394" t="s">
        <v>76</v>
      </c>
      <c r="C90" s="3" t="s">
        <v>596</v>
      </c>
      <c r="D90" s="65">
        <v>17.48</v>
      </c>
      <c r="E90" s="56">
        <f>46056973/408960696</f>
        <v>0.11261955843306762</v>
      </c>
      <c r="F90" s="145">
        <f>474.61/4565.69*100</f>
        <v>10.395142902825203</v>
      </c>
      <c r="G90" s="52"/>
      <c r="H90" s="53"/>
      <c r="I90" s="53"/>
      <c r="J90" s="53"/>
      <c r="K90" s="53"/>
      <c r="L90" s="53"/>
      <c r="M90" s="53"/>
      <c r="N90" s="53"/>
    </row>
    <row r="91" spans="1:14" x14ac:dyDescent="0.4">
      <c r="A91" s="2"/>
      <c r="B91" s="394"/>
      <c r="C91" s="3" t="s">
        <v>73</v>
      </c>
      <c r="D91" s="54"/>
      <c r="E91" s="52"/>
      <c r="F91" s="52"/>
      <c r="G91" s="52"/>
      <c r="H91" s="53"/>
      <c r="I91" s="53"/>
      <c r="J91" s="53"/>
      <c r="K91" s="53"/>
      <c r="L91" s="53"/>
      <c r="M91" s="53"/>
      <c r="N91" s="53"/>
    </row>
    <row r="92" spans="1:14" x14ac:dyDescent="0.4">
      <c r="A92" s="2"/>
      <c r="B92" s="394"/>
      <c r="C92" s="21" t="s">
        <v>597</v>
      </c>
      <c r="D92" s="54">
        <v>20.5</v>
      </c>
      <c r="E92" s="56">
        <f>68452227/188692292</f>
        <v>0.36277171830633126</v>
      </c>
      <c r="F92" s="56">
        <v>0.30299999999999999</v>
      </c>
      <c r="G92" s="52" t="s">
        <v>807</v>
      </c>
      <c r="H92" s="53"/>
      <c r="I92" s="53"/>
      <c r="J92" s="53"/>
      <c r="K92" s="53"/>
      <c r="L92" s="53"/>
      <c r="M92" s="53"/>
      <c r="N92" s="53"/>
    </row>
    <row r="93" spans="1:14" x14ac:dyDescent="0.4">
      <c r="A93" s="2"/>
      <c r="B93" s="394"/>
      <c r="C93" s="21" t="s">
        <v>598</v>
      </c>
      <c r="D93" s="54">
        <v>24.56</v>
      </c>
      <c r="E93" s="56">
        <f>1135.73/5849.77</f>
        <v>0.19414951357061899</v>
      </c>
      <c r="F93" s="56">
        <v>9.69E-2</v>
      </c>
      <c r="G93" s="52">
        <v>-21.01</v>
      </c>
      <c r="H93" s="53"/>
      <c r="I93" s="53"/>
      <c r="J93" s="53"/>
      <c r="K93" s="53"/>
      <c r="L93" s="53"/>
      <c r="M93" s="53"/>
      <c r="N93" s="53"/>
    </row>
    <row r="94" spans="1:14" x14ac:dyDescent="0.4">
      <c r="A94" s="2"/>
      <c r="B94" s="394"/>
      <c r="C94" s="3" t="s">
        <v>74</v>
      </c>
      <c r="D94" s="132">
        <f>SUM(D92:D93)/2</f>
        <v>22.53</v>
      </c>
      <c r="E94" s="132">
        <f>SUM(E92:E93)/2</f>
        <v>0.27846061593847515</v>
      </c>
      <c r="F94" s="132">
        <f>SUM(F92:F93)/2</f>
        <v>0.19994999999999999</v>
      </c>
      <c r="G94" s="52"/>
      <c r="H94" s="53"/>
      <c r="I94" s="53"/>
      <c r="J94" s="53"/>
      <c r="K94" s="57"/>
      <c r="L94" s="53"/>
      <c r="M94" s="53"/>
      <c r="N94" s="53"/>
    </row>
    <row r="95" spans="1:14" x14ac:dyDescent="0.35">
      <c r="A95" s="2"/>
      <c r="B95" s="394" t="s">
        <v>77</v>
      </c>
      <c r="C95" s="3" t="s">
        <v>596</v>
      </c>
      <c r="D95" s="65">
        <v>16.14</v>
      </c>
      <c r="E95" s="55">
        <f>408960696/13644980</f>
        <v>29.971513039960485</v>
      </c>
      <c r="F95" s="55">
        <f>456568097/13644980</f>
        <v>33.460517860781032</v>
      </c>
      <c r="G95" s="52"/>
      <c r="H95" s="53"/>
      <c r="I95" s="53"/>
      <c r="J95" s="53"/>
      <c r="K95" s="53"/>
      <c r="L95" s="53"/>
      <c r="M95" s="53"/>
      <c r="N95" s="53"/>
    </row>
    <row r="96" spans="1:14" x14ac:dyDescent="0.4">
      <c r="A96" s="2"/>
      <c r="B96" s="394"/>
      <c r="C96" s="3" t="s">
        <v>73</v>
      </c>
      <c r="D96" s="54"/>
      <c r="E96" s="52"/>
      <c r="F96" s="52"/>
      <c r="G96" s="52"/>
      <c r="H96" s="53"/>
      <c r="I96" s="53"/>
      <c r="J96" s="53"/>
      <c r="K96" s="53"/>
      <c r="L96" s="53"/>
      <c r="M96" s="53"/>
      <c r="N96" s="53"/>
    </row>
    <row r="97" spans="1:14" x14ac:dyDescent="0.4">
      <c r="A97" s="2"/>
      <c r="B97" s="411"/>
      <c r="C97" s="21" t="s">
        <v>597</v>
      </c>
      <c r="D97" s="54">
        <v>17.41</v>
      </c>
      <c r="E97" s="55">
        <f>188692292/10047040</f>
        <v>18.780883922030768</v>
      </c>
      <c r="F97" s="55">
        <v>27.01</v>
      </c>
      <c r="G97" s="52" t="s">
        <v>807</v>
      </c>
      <c r="H97" s="53" t="s">
        <v>693</v>
      </c>
      <c r="I97" s="53"/>
      <c r="J97" s="53"/>
      <c r="K97" s="53"/>
      <c r="L97" s="53"/>
      <c r="M97" s="53"/>
      <c r="N97" s="53"/>
    </row>
    <row r="98" spans="1:14" x14ac:dyDescent="0.4">
      <c r="A98" s="2"/>
      <c r="B98" s="411"/>
      <c r="C98" s="21" t="s">
        <v>598</v>
      </c>
      <c r="D98" s="54">
        <v>44.56</v>
      </c>
      <c r="E98" s="55">
        <f>5849.77/105.73</f>
        <v>55.327437813298026</v>
      </c>
      <c r="F98" s="55">
        <v>61.64</v>
      </c>
      <c r="G98" s="52">
        <v>49.81</v>
      </c>
      <c r="H98" s="53"/>
      <c r="I98" s="53"/>
      <c r="J98" s="53"/>
      <c r="K98" s="53"/>
      <c r="L98" s="53"/>
      <c r="M98" s="53"/>
      <c r="N98" s="53"/>
    </row>
    <row r="99" spans="1:14" x14ac:dyDescent="0.4">
      <c r="A99" s="2"/>
      <c r="B99" s="411"/>
      <c r="C99" s="3" t="s">
        <v>74</v>
      </c>
      <c r="D99" s="132">
        <f>SUM(D97:D98)/2</f>
        <v>30.984999999999999</v>
      </c>
      <c r="E99" s="132">
        <f>SUM(E97:E98)/2</f>
        <v>37.054160867664393</v>
      </c>
      <c r="F99" s="132">
        <f>SUM(F97:F98)/2</f>
        <v>44.325000000000003</v>
      </c>
      <c r="G99" s="52"/>
      <c r="H99" s="53"/>
      <c r="I99" s="53"/>
      <c r="J99" s="53"/>
      <c r="K99" s="53"/>
      <c r="L99" s="53"/>
      <c r="M99" s="53"/>
      <c r="N99" s="53"/>
    </row>
    <row r="100" spans="1:14" s="1" customFormat="1" x14ac:dyDescent="0.4">
      <c r="B100" s="412"/>
      <c r="C100" s="413"/>
      <c r="D100" s="413"/>
      <c r="E100" s="413"/>
      <c r="F100" s="413"/>
      <c r="G100" s="414"/>
    </row>
    <row r="101" spans="1:14" x14ac:dyDescent="0.4">
      <c r="A101" s="2"/>
      <c r="B101" s="415" t="s">
        <v>599</v>
      </c>
      <c r="C101" s="416"/>
      <c r="D101" s="416"/>
      <c r="E101" s="416"/>
      <c r="F101" s="416"/>
      <c r="G101" s="417"/>
      <c r="H101" s="53"/>
      <c r="I101" s="53"/>
      <c r="J101" s="53"/>
      <c r="K101" s="53"/>
      <c r="L101" s="53"/>
      <c r="M101" s="53"/>
      <c r="N101" s="53"/>
    </row>
    <row r="102" spans="1:14" x14ac:dyDescent="0.4">
      <c r="A102" s="2"/>
      <c r="B102" s="418" t="s">
        <v>85</v>
      </c>
      <c r="C102" s="419"/>
      <c r="D102" s="419"/>
      <c r="E102" s="419"/>
      <c r="F102" s="419"/>
      <c r="G102" s="420"/>
      <c r="H102" s="53"/>
      <c r="I102" s="53"/>
      <c r="J102" s="53"/>
      <c r="K102" s="53"/>
      <c r="L102" s="53"/>
      <c r="M102" s="53"/>
      <c r="N102" s="53"/>
    </row>
    <row r="103" spans="1:14" x14ac:dyDescent="0.4">
      <c r="A103" s="2"/>
      <c r="B103" s="363"/>
      <c r="C103" s="368"/>
      <c r="D103" s="368"/>
      <c r="E103" s="368"/>
      <c r="F103" s="368"/>
      <c r="G103" s="369"/>
      <c r="H103" s="53"/>
      <c r="I103" s="53"/>
      <c r="J103" s="53"/>
      <c r="K103" s="53"/>
      <c r="L103" s="53"/>
      <c r="M103" s="53"/>
      <c r="N103" s="53"/>
    </row>
    <row r="104" spans="1:14" x14ac:dyDescent="0.4">
      <c r="C104" s="407"/>
      <c r="D104" s="407"/>
      <c r="E104" s="407"/>
      <c r="F104" s="407"/>
      <c r="G104" s="407"/>
      <c r="H104" s="53"/>
      <c r="I104" s="53"/>
    </row>
    <row r="105" spans="1:14" x14ac:dyDescent="0.4">
      <c r="A105" s="9">
        <v>14</v>
      </c>
      <c r="B105" s="61" t="s">
        <v>78</v>
      </c>
      <c r="C105" s="356" t="s">
        <v>41</v>
      </c>
      <c r="D105" s="357"/>
      <c r="E105" s="357"/>
      <c r="F105" s="357"/>
      <c r="G105" s="408"/>
    </row>
    <row r="106" spans="1:14" x14ac:dyDescent="0.4">
      <c r="A106" s="23"/>
      <c r="C106" s="69"/>
      <c r="D106" s="69"/>
      <c r="E106" s="69"/>
      <c r="F106" s="69"/>
      <c r="G106" s="69"/>
    </row>
    <row r="107" spans="1:14" x14ac:dyDescent="0.4">
      <c r="B107" s="409" t="s">
        <v>600</v>
      </c>
      <c r="C107" s="410"/>
      <c r="D107" s="410"/>
      <c r="E107" s="410"/>
      <c r="F107" s="410"/>
      <c r="G107" s="410"/>
      <c r="H107" s="410"/>
    </row>
    <row r="114" spans="4:5" x14ac:dyDescent="0.4">
      <c r="D114" s="107"/>
      <c r="E114" s="107"/>
    </row>
    <row r="115" spans="4:5" x14ac:dyDescent="0.4">
      <c r="E115" s="107"/>
    </row>
  </sheetData>
  <sheetProtection password="EB7F" sheet="1" objects="1" scenarios="1"/>
  <mergeCells count="58">
    <mergeCell ref="B107:H107"/>
    <mergeCell ref="B100:G100"/>
    <mergeCell ref="B101:G101"/>
    <mergeCell ref="B102:G102"/>
    <mergeCell ref="B103:G103"/>
    <mergeCell ref="C104:G104"/>
    <mergeCell ref="C105:G105"/>
    <mergeCell ref="B74:N74"/>
    <mergeCell ref="B75:N75"/>
    <mergeCell ref="B77:G77"/>
    <mergeCell ref="B80:B84"/>
    <mergeCell ref="B85:B89"/>
    <mergeCell ref="B90:B94"/>
    <mergeCell ref="B95:B99"/>
    <mergeCell ref="B73:N73"/>
    <mergeCell ref="C56:E56"/>
    <mergeCell ref="C57:E57"/>
    <mergeCell ref="B58:E58"/>
    <mergeCell ref="B59:E59"/>
    <mergeCell ref="C61:E61"/>
    <mergeCell ref="B67:B68"/>
    <mergeCell ref="C67:C68"/>
    <mergeCell ref="D67:D68"/>
    <mergeCell ref="E67:E68"/>
    <mergeCell ref="F67:H67"/>
    <mergeCell ref="I67:K67"/>
    <mergeCell ref="L67:N67"/>
    <mergeCell ref="B71:N71"/>
    <mergeCell ref="B72:N72"/>
    <mergeCell ref="B54:B55"/>
    <mergeCell ref="C54:E55"/>
    <mergeCell ref="B33:E33"/>
    <mergeCell ref="B35:E35"/>
    <mergeCell ref="B39:C39"/>
    <mergeCell ref="B42:E42"/>
    <mergeCell ref="C43:E43"/>
    <mergeCell ref="C44:E44"/>
    <mergeCell ref="C45:E45"/>
    <mergeCell ref="B46:E46"/>
    <mergeCell ref="B48:E48"/>
    <mergeCell ref="B51:E51"/>
    <mergeCell ref="B53:E53"/>
    <mergeCell ref="C22:E22"/>
    <mergeCell ref="B23:E23"/>
    <mergeCell ref="B26:E26"/>
    <mergeCell ref="B27:E27"/>
    <mergeCell ref="C21:E21"/>
    <mergeCell ref="A1:B1"/>
    <mergeCell ref="C5:E5"/>
    <mergeCell ref="B6:D6"/>
    <mergeCell ref="B9:D9"/>
    <mergeCell ref="C11:E11"/>
    <mergeCell ref="C20:E20"/>
    <mergeCell ref="B12:D12"/>
    <mergeCell ref="B15:C15"/>
    <mergeCell ref="B17:E17"/>
    <mergeCell ref="C18:E18"/>
    <mergeCell ref="C19:E19"/>
  </mergeCells>
  <pageMargins left="0.7" right="0.7" top="0.75" bottom="0.75" header="0.3" footer="0.3"/>
  <pageSetup paperSize="9" orientation="portrait"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5"/>
  <sheetViews>
    <sheetView topLeftCell="A7" workbookViewId="0">
      <selection activeCell="B75" sqref="B75:N75"/>
    </sheetView>
  </sheetViews>
  <sheetFormatPr defaultColWidth="8.84375" defaultRowHeight="13.25" x14ac:dyDescent="0.4"/>
  <cols>
    <col min="1" max="1" width="8.84375" style="8"/>
    <col min="2" max="2" width="40.84375" style="8" customWidth="1"/>
    <col min="3" max="3" width="43.4609375" style="8" customWidth="1"/>
    <col min="4" max="4" width="15.84375" style="8" customWidth="1"/>
    <col min="5" max="5" width="22.3046875" style="8" customWidth="1"/>
    <col min="6" max="6" width="19.84375" style="8" customWidth="1"/>
    <col min="7" max="7" width="22.3046875" style="8" customWidth="1"/>
    <col min="8" max="8" width="8.84375" style="8"/>
    <col min="9" max="9" width="16.3046875" style="8" customWidth="1"/>
    <col min="10" max="10" width="17.3046875" style="8" customWidth="1"/>
    <col min="11" max="11" width="11.53515625" style="8" customWidth="1"/>
    <col min="12" max="12" width="13.4609375" style="8" customWidth="1"/>
    <col min="13" max="13" width="14.07421875" style="8" customWidth="1"/>
    <col min="14" max="14" width="14.84375" style="8" customWidth="1"/>
    <col min="15" max="16384" width="8.84375" style="8"/>
  </cols>
  <sheetData>
    <row r="1" spans="1:5" x14ac:dyDescent="0.4">
      <c r="A1" s="355" t="s">
        <v>0</v>
      </c>
      <c r="B1" s="355"/>
      <c r="D1" s="1"/>
    </row>
    <row r="3" spans="1:5" x14ac:dyDescent="0.4">
      <c r="A3" s="2" t="s">
        <v>1</v>
      </c>
      <c r="B3" s="3" t="s">
        <v>2</v>
      </c>
      <c r="C3" s="4" t="s">
        <v>601</v>
      </c>
    </row>
    <row r="4" spans="1:5" x14ac:dyDescent="0.4">
      <c r="D4" s="5"/>
    </row>
    <row r="5" spans="1:5" x14ac:dyDescent="0.4">
      <c r="A5" s="6">
        <v>1</v>
      </c>
      <c r="B5" s="7" t="s">
        <v>3</v>
      </c>
      <c r="C5" s="356" t="s">
        <v>197</v>
      </c>
      <c r="D5" s="357"/>
      <c r="E5" s="358"/>
    </row>
    <row r="6" spans="1:5" x14ac:dyDescent="0.4">
      <c r="A6" s="9"/>
      <c r="B6" s="359" t="s">
        <v>5</v>
      </c>
      <c r="C6" s="359"/>
      <c r="D6" s="359"/>
      <c r="E6" s="10"/>
    </row>
    <row r="7" spans="1:5" x14ac:dyDescent="0.4">
      <c r="A7" s="9"/>
      <c r="B7" s="11"/>
      <c r="D7" s="5"/>
    </row>
    <row r="8" spans="1:5" x14ac:dyDescent="0.4">
      <c r="A8" s="9">
        <v>2</v>
      </c>
      <c r="B8" s="7" t="s">
        <v>6</v>
      </c>
      <c r="C8" s="12" t="s">
        <v>602</v>
      </c>
      <c r="D8" s="5"/>
    </row>
    <row r="9" spans="1:5" x14ac:dyDescent="0.4">
      <c r="A9" s="9"/>
      <c r="B9" s="360" t="s">
        <v>5</v>
      </c>
      <c r="C9" s="361"/>
      <c r="D9" s="362"/>
    </row>
    <row r="10" spans="1:5" x14ac:dyDescent="0.4">
      <c r="A10" s="9"/>
      <c r="B10" s="11"/>
      <c r="D10" s="5"/>
    </row>
    <row r="11" spans="1:5" x14ac:dyDescent="0.4">
      <c r="A11" s="9">
        <v>3</v>
      </c>
      <c r="B11" s="7" t="s">
        <v>7</v>
      </c>
      <c r="C11" s="356" t="s">
        <v>8</v>
      </c>
      <c r="D11" s="357"/>
      <c r="E11" s="358"/>
    </row>
    <row r="12" spans="1:5" x14ac:dyDescent="0.4">
      <c r="A12" s="9"/>
      <c r="B12" s="359" t="s">
        <v>5</v>
      </c>
      <c r="C12" s="359"/>
      <c r="D12" s="359"/>
      <c r="E12" s="10"/>
    </row>
    <row r="13" spans="1:5" x14ac:dyDescent="0.4">
      <c r="A13" s="9"/>
      <c r="B13" s="11"/>
      <c r="D13" s="5"/>
    </row>
    <row r="14" spans="1:5" x14ac:dyDescent="0.4">
      <c r="A14" s="9">
        <v>4</v>
      </c>
      <c r="B14" s="3" t="s">
        <v>9</v>
      </c>
      <c r="C14" s="4" t="s">
        <v>603</v>
      </c>
      <c r="D14" s="5"/>
    </row>
    <row r="15" spans="1:5"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604</v>
      </c>
      <c r="C19" s="455" t="s">
        <v>13</v>
      </c>
      <c r="D19" s="456"/>
      <c r="E19" s="457"/>
      <c r="F19" s="15"/>
      <c r="G19" s="13"/>
      <c r="I19" s="13"/>
      <c r="J19" s="13"/>
      <c r="K19" s="13"/>
      <c r="L19" s="13"/>
      <c r="M19" s="13"/>
      <c r="N19" s="13"/>
    </row>
    <row r="20" spans="1:14" x14ac:dyDescent="0.4">
      <c r="A20" s="9"/>
      <c r="B20" s="14" t="s">
        <v>605</v>
      </c>
      <c r="C20" s="455" t="s">
        <v>13</v>
      </c>
      <c r="D20" s="456"/>
      <c r="E20" s="457"/>
      <c r="F20" s="15"/>
      <c r="G20" s="13"/>
      <c r="H20" s="13"/>
      <c r="I20" s="13"/>
      <c r="J20" s="13"/>
      <c r="K20" s="13"/>
      <c r="L20" s="13"/>
      <c r="M20" s="13"/>
      <c r="N20" s="13"/>
    </row>
    <row r="21" spans="1:14" x14ac:dyDescent="0.4">
      <c r="A21" s="9"/>
      <c r="B21" s="14" t="s">
        <v>15</v>
      </c>
      <c r="C21" s="367">
        <v>5.9999999999999995E-4</v>
      </c>
      <c r="D21" s="354"/>
      <c r="E21" s="354"/>
      <c r="F21" s="15"/>
      <c r="G21" s="13"/>
      <c r="H21" s="13"/>
      <c r="I21" s="13"/>
      <c r="J21" s="13"/>
      <c r="K21" s="13"/>
      <c r="L21" s="13"/>
      <c r="M21" s="13"/>
      <c r="N21" s="13"/>
    </row>
    <row r="22" spans="1:14" x14ac:dyDescent="0.4">
      <c r="A22" s="9"/>
      <c r="B22" s="16" t="s">
        <v>16</v>
      </c>
      <c r="C22" s="367">
        <v>5.9999999999999995E-4</v>
      </c>
      <c r="D22" s="354"/>
      <c r="E22" s="354"/>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263</v>
      </c>
      <c r="E28" s="18" t="s">
        <v>23</v>
      </c>
      <c r="F28" s="15"/>
    </row>
    <row r="29" spans="1:14" x14ac:dyDescent="0.4">
      <c r="A29" s="9"/>
      <c r="B29" s="19" t="s">
        <v>24</v>
      </c>
      <c r="C29" s="20">
        <v>5611.19</v>
      </c>
      <c r="D29" s="20">
        <v>4873.7700000000004</v>
      </c>
      <c r="E29" s="155">
        <v>5976</v>
      </c>
      <c r="F29" s="15"/>
    </row>
    <row r="30" spans="1:14" x14ac:dyDescent="0.4">
      <c r="A30" s="9"/>
      <c r="B30" s="19" t="s">
        <v>25</v>
      </c>
      <c r="C30" s="20">
        <v>768.29</v>
      </c>
      <c r="D30" s="20">
        <v>106.18</v>
      </c>
      <c r="E30" s="161">
        <v>264</v>
      </c>
      <c r="F30" s="15"/>
    </row>
    <row r="31" spans="1:14" x14ac:dyDescent="0.4">
      <c r="A31" s="9"/>
      <c r="B31" s="19" t="s">
        <v>26</v>
      </c>
      <c r="C31" s="20">
        <v>1429.6</v>
      </c>
      <c r="D31" s="20">
        <v>1429.6</v>
      </c>
      <c r="E31" s="20">
        <v>1429.6</v>
      </c>
      <c r="F31" s="15"/>
    </row>
    <row r="32" spans="1:14" x14ac:dyDescent="0.4">
      <c r="A32" s="9"/>
      <c r="B32" s="19" t="s">
        <v>27</v>
      </c>
      <c r="C32" s="20">
        <v>3034.19</v>
      </c>
      <c r="D32" s="20">
        <v>3128.75</v>
      </c>
      <c r="E32" s="162">
        <v>3393</v>
      </c>
      <c r="F32" s="15"/>
    </row>
    <row r="33" spans="1:10" x14ac:dyDescent="0.4">
      <c r="A33" s="9"/>
      <c r="B33" s="363"/>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17</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13</v>
      </c>
      <c r="D44" s="374"/>
      <c r="E44" s="375"/>
      <c r="F44" s="13"/>
    </row>
    <row r="45" spans="1:10" x14ac:dyDescent="0.4">
      <c r="A45" s="9"/>
      <c r="B45" s="17" t="s">
        <v>32</v>
      </c>
      <c r="C45" s="446" t="s">
        <v>835</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66.3" x14ac:dyDescent="0.4">
      <c r="A50" s="29"/>
      <c r="B50" s="78" t="s">
        <v>307</v>
      </c>
      <c r="C50" s="78" t="s">
        <v>606</v>
      </c>
      <c r="D50" s="28"/>
      <c r="E50" s="27"/>
    </row>
    <row r="51" spans="1:14" x14ac:dyDescent="0.4">
      <c r="A51" s="31"/>
      <c r="B51" s="380" t="s">
        <v>607</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608</v>
      </c>
      <c r="D54" s="386"/>
      <c r="E54" s="387"/>
      <c r="K54" s="1"/>
    </row>
    <row r="55" spans="1:14"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x14ac:dyDescent="0.4">
      <c r="A58" s="29"/>
      <c r="B58" s="380" t="s">
        <v>609</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43"/>
      <c r="F63" s="43"/>
      <c r="G63" s="11"/>
      <c r="H63" s="11"/>
      <c r="I63" s="11"/>
      <c r="J63" s="11"/>
      <c r="K63" s="11"/>
      <c r="L63" s="11"/>
      <c r="M63" s="11"/>
      <c r="N63" s="11"/>
    </row>
    <row r="64" spans="1:14" x14ac:dyDescent="0.4">
      <c r="A64" s="9"/>
      <c r="B64" s="11"/>
      <c r="C64" s="11"/>
      <c r="D64" s="11"/>
      <c r="E64" s="43"/>
      <c r="F64" s="43"/>
      <c r="G64" s="43"/>
      <c r="H64" s="11"/>
      <c r="I64" s="11"/>
      <c r="J64" s="11"/>
      <c r="K64" s="11"/>
      <c r="L64" s="11"/>
      <c r="M64" s="11"/>
      <c r="N64" s="11"/>
    </row>
    <row r="65" spans="1:14" x14ac:dyDescent="0.4">
      <c r="A65" s="9"/>
      <c r="B65" s="17" t="s">
        <v>52</v>
      </c>
      <c r="C65" s="19" t="s">
        <v>610</v>
      </c>
      <c r="D65" s="15"/>
      <c r="E65" s="118"/>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x14ac:dyDescent="0.4">
      <c r="A67" s="9"/>
      <c r="B67" s="365" t="s">
        <v>53</v>
      </c>
      <c r="C67" s="366" t="s">
        <v>611</v>
      </c>
      <c r="D67" s="366" t="s">
        <v>271</v>
      </c>
      <c r="E67" s="403" t="s">
        <v>232</v>
      </c>
      <c r="F67" s="395" t="s">
        <v>836</v>
      </c>
      <c r="G67" s="396"/>
      <c r="H67" s="397"/>
      <c r="I67" s="398" t="s">
        <v>837</v>
      </c>
      <c r="J67" s="398"/>
      <c r="K67" s="398"/>
      <c r="L67" s="398" t="s">
        <v>838</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61</v>
      </c>
      <c r="C69" s="45">
        <v>56.05</v>
      </c>
      <c r="D69" s="46">
        <v>53.9</v>
      </c>
      <c r="E69" s="46">
        <v>50</v>
      </c>
      <c r="F69" s="46">
        <v>30.7</v>
      </c>
      <c r="G69" s="46">
        <v>58.85</v>
      </c>
      <c r="H69" s="46">
        <v>28.5</v>
      </c>
      <c r="I69" s="45">
        <v>15.05</v>
      </c>
      <c r="J69" s="45">
        <v>45</v>
      </c>
      <c r="K69" s="45">
        <v>15.05</v>
      </c>
      <c r="L69" s="45">
        <v>29.7</v>
      </c>
      <c r="M69" s="45">
        <v>29.7</v>
      </c>
      <c r="N69" s="45">
        <v>29.7</v>
      </c>
    </row>
    <row r="70" spans="1:14" ht="25.65" x14ac:dyDescent="0.4">
      <c r="A70" s="2"/>
      <c r="B70" s="17" t="s">
        <v>216</v>
      </c>
      <c r="C70" s="45">
        <v>30248.17</v>
      </c>
      <c r="D70" s="45">
        <v>31262.06</v>
      </c>
      <c r="E70" s="46">
        <v>37586.879999999997</v>
      </c>
      <c r="F70" s="45">
        <v>38672.910000000003</v>
      </c>
      <c r="G70" s="45">
        <v>38989.65</v>
      </c>
      <c r="H70" s="45">
        <v>32972.559999999998</v>
      </c>
      <c r="I70" s="45">
        <v>29468.49</v>
      </c>
      <c r="J70" s="45">
        <v>42273.87</v>
      </c>
      <c r="K70" s="45">
        <v>25638.9</v>
      </c>
      <c r="L70" s="45">
        <v>49509.15</v>
      </c>
      <c r="M70" s="45">
        <v>52516.76</v>
      </c>
      <c r="N70" s="45">
        <v>27500.79</v>
      </c>
    </row>
    <row r="71" spans="1:14" x14ac:dyDescent="0.4">
      <c r="A71" s="2"/>
      <c r="B71" s="401" t="s">
        <v>17</v>
      </c>
      <c r="C71" s="401"/>
      <c r="D71" s="401"/>
      <c r="E71" s="401"/>
      <c r="F71" s="401"/>
      <c r="G71" s="401"/>
      <c r="H71" s="401"/>
      <c r="I71" s="401"/>
      <c r="J71" s="401"/>
      <c r="K71" s="401"/>
      <c r="L71" s="401"/>
      <c r="M71" s="401"/>
      <c r="N71" s="401"/>
    </row>
    <row r="72" spans="1:14" x14ac:dyDescent="0.4">
      <c r="A72" s="2"/>
      <c r="B72" s="359" t="s">
        <v>63</v>
      </c>
      <c r="C72" s="359"/>
      <c r="D72" s="359"/>
      <c r="E72" s="359"/>
      <c r="F72" s="359"/>
      <c r="G72" s="359"/>
      <c r="H72" s="359"/>
      <c r="I72" s="359"/>
      <c r="J72" s="359"/>
      <c r="K72" s="359"/>
      <c r="L72" s="359"/>
      <c r="M72" s="359"/>
      <c r="N72" s="359"/>
    </row>
    <row r="73" spans="1:14" s="1" customFormat="1" x14ac:dyDescent="0.4">
      <c r="B73" s="359" t="s">
        <v>64</v>
      </c>
      <c r="C73" s="359"/>
      <c r="D73" s="359"/>
      <c r="E73" s="359"/>
      <c r="F73" s="359"/>
      <c r="G73" s="359"/>
      <c r="H73" s="359"/>
      <c r="I73" s="359"/>
      <c r="J73" s="359"/>
      <c r="K73" s="359"/>
      <c r="L73" s="359"/>
      <c r="M73" s="359"/>
      <c r="N73" s="359"/>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t="s">
        <v>693</v>
      </c>
      <c r="L77" s="11"/>
      <c r="M77" s="11"/>
      <c r="N77" s="11"/>
    </row>
    <row r="78" spans="1:14" x14ac:dyDescent="0.4">
      <c r="A78" s="9"/>
      <c r="C78" s="15"/>
      <c r="D78" s="15"/>
      <c r="E78" s="15"/>
      <c r="F78" s="15"/>
      <c r="G78" s="15"/>
      <c r="H78" s="15"/>
      <c r="I78" s="15"/>
      <c r="J78" s="15"/>
      <c r="K78" s="15"/>
      <c r="L78" s="15"/>
      <c r="M78" s="15"/>
      <c r="N78" s="15"/>
    </row>
    <row r="79" spans="1:14" ht="102.5" x14ac:dyDescent="0.4">
      <c r="A79" s="2"/>
      <c r="B79" s="50" t="s">
        <v>67</v>
      </c>
      <c r="C79" s="18" t="s">
        <v>68</v>
      </c>
      <c r="D79" s="18" t="s">
        <v>69</v>
      </c>
      <c r="E79" s="18" t="s">
        <v>218</v>
      </c>
      <c r="F79" s="18" t="s">
        <v>71</v>
      </c>
      <c r="G79" s="18" t="s">
        <v>107</v>
      </c>
      <c r="H79" s="13"/>
      <c r="I79" s="13"/>
      <c r="J79" s="13"/>
      <c r="K79" s="13"/>
      <c r="L79" s="13"/>
      <c r="M79" s="13"/>
      <c r="N79" s="13"/>
    </row>
    <row r="80" spans="1:14" x14ac:dyDescent="0.35">
      <c r="A80" s="2"/>
      <c r="B80" s="394" t="s">
        <v>72</v>
      </c>
      <c r="C80" s="3" t="s">
        <v>612</v>
      </c>
      <c r="D80" s="65">
        <v>3.1</v>
      </c>
      <c r="E80" s="20">
        <v>5.55</v>
      </c>
      <c r="F80" s="52">
        <v>0.74</v>
      </c>
      <c r="G80" s="52">
        <v>1.85</v>
      </c>
      <c r="H80" s="53"/>
      <c r="I80" s="53"/>
      <c r="J80" s="53"/>
      <c r="K80" s="53"/>
      <c r="L80" s="53"/>
      <c r="M80" s="53"/>
      <c r="N80" s="53"/>
    </row>
    <row r="81" spans="1:14" x14ac:dyDescent="0.4">
      <c r="A81" s="2"/>
      <c r="B81" s="394"/>
      <c r="C81" s="3" t="s">
        <v>73</v>
      </c>
      <c r="D81" s="54"/>
      <c r="E81" s="20"/>
      <c r="F81" s="52"/>
      <c r="G81" s="66"/>
      <c r="H81" s="53"/>
      <c r="I81" s="53"/>
      <c r="J81" s="53"/>
      <c r="K81" s="53"/>
      <c r="L81" s="53"/>
      <c r="M81" s="53"/>
      <c r="N81" s="53"/>
    </row>
    <row r="82" spans="1:14" x14ac:dyDescent="0.4">
      <c r="A82" s="2"/>
      <c r="B82" s="394"/>
      <c r="C82" s="21" t="s">
        <v>613</v>
      </c>
      <c r="D82" s="54">
        <v>0.35</v>
      </c>
      <c r="E82" s="20">
        <v>2.38</v>
      </c>
      <c r="F82" s="52">
        <v>6.58</v>
      </c>
      <c r="G82" s="52">
        <v>6.72</v>
      </c>
      <c r="H82" s="53"/>
      <c r="I82" s="53"/>
      <c r="J82" s="53"/>
      <c r="K82" s="53"/>
      <c r="L82" s="53"/>
      <c r="M82" s="53"/>
      <c r="N82" s="53"/>
    </row>
    <row r="83" spans="1:14" x14ac:dyDescent="0.4">
      <c r="A83" s="2"/>
      <c r="B83" s="394"/>
      <c r="C83" s="21" t="s">
        <v>614</v>
      </c>
      <c r="D83" s="54">
        <v>3.66</v>
      </c>
      <c r="E83" s="20">
        <v>2.59</v>
      </c>
      <c r="F83" s="52">
        <v>1.48</v>
      </c>
      <c r="G83" s="52">
        <v>-1.34</v>
      </c>
      <c r="H83" s="53"/>
      <c r="I83" s="53"/>
      <c r="J83" s="53"/>
      <c r="K83" s="53"/>
      <c r="L83" s="53"/>
      <c r="M83" s="53"/>
      <c r="N83" s="53"/>
    </row>
    <row r="84" spans="1:14" x14ac:dyDescent="0.4">
      <c r="A84" s="2"/>
      <c r="B84" s="394"/>
      <c r="C84" s="3" t="s">
        <v>74</v>
      </c>
      <c r="D84" s="134">
        <f>SUM(D82:D83)/2</f>
        <v>2.0049999999999999</v>
      </c>
      <c r="E84" s="134">
        <f>SUM(E82:E83)/2</f>
        <v>2.4849999999999999</v>
      </c>
      <c r="F84" s="134">
        <f>SUM(F82:F83)/2</f>
        <v>4.03</v>
      </c>
      <c r="G84" s="134">
        <f>SUM(G82:G83)/2</f>
        <v>2.69</v>
      </c>
      <c r="H84" s="53"/>
      <c r="I84" s="53"/>
      <c r="J84" s="53"/>
      <c r="K84" s="53"/>
      <c r="L84" s="53"/>
      <c r="M84" s="53"/>
      <c r="N84" s="53"/>
    </row>
    <row r="85" spans="1:14" x14ac:dyDescent="0.35">
      <c r="A85" s="2"/>
      <c r="B85" s="394" t="s">
        <v>75</v>
      </c>
      <c r="C85" s="3" t="s">
        <v>612</v>
      </c>
      <c r="D85" s="77">
        <v>17.420000000000002</v>
      </c>
      <c r="E85" s="101">
        <f>F69/E80</f>
        <v>5.5315315315315319</v>
      </c>
      <c r="F85" s="101">
        <f>I69/F80</f>
        <v>20.337837837837839</v>
      </c>
      <c r="G85" s="101">
        <f>L69/G80</f>
        <v>16.054054054054053</v>
      </c>
      <c r="H85" s="53"/>
      <c r="I85" s="53"/>
      <c r="J85" s="53"/>
      <c r="K85" s="53"/>
      <c r="L85" s="53"/>
      <c r="M85" s="53"/>
      <c r="N85" s="53"/>
    </row>
    <row r="86" spans="1:14" x14ac:dyDescent="0.4">
      <c r="A86" s="2"/>
      <c r="B86" s="394"/>
      <c r="C86" s="3" t="s">
        <v>73</v>
      </c>
      <c r="D86" s="54"/>
      <c r="E86" s="20"/>
      <c r="F86" s="52"/>
      <c r="G86" s="66"/>
      <c r="H86" s="53"/>
      <c r="I86" s="53"/>
      <c r="J86" s="53"/>
      <c r="K86" s="53"/>
      <c r="L86" s="53"/>
      <c r="M86" s="53"/>
      <c r="N86" s="53"/>
    </row>
    <row r="87" spans="1:14" x14ac:dyDescent="0.4">
      <c r="A87" s="2"/>
      <c r="B87" s="394"/>
      <c r="C87" s="21" t="s">
        <v>613</v>
      </c>
      <c r="D87" s="54">
        <v>87.43</v>
      </c>
      <c r="E87" s="20">
        <v>10.71</v>
      </c>
      <c r="F87" s="55">
        <f>27.55/F82</f>
        <v>4.1869300911854106</v>
      </c>
      <c r="G87" s="55">
        <f>34/G82</f>
        <v>5.0595238095238093</v>
      </c>
      <c r="H87" s="53"/>
      <c r="I87" s="53"/>
      <c r="J87" s="53"/>
      <c r="K87" s="53"/>
      <c r="L87" s="53"/>
      <c r="M87" s="53"/>
      <c r="N87" s="53"/>
    </row>
    <row r="88" spans="1:14" x14ac:dyDescent="0.4">
      <c r="A88" s="2"/>
      <c r="B88" s="394"/>
      <c r="C88" s="21" t="s">
        <v>614</v>
      </c>
      <c r="D88" s="54">
        <v>16.39</v>
      </c>
      <c r="E88" s="20">
        <v>19.29</v>
      </c>
      <c r="F88" s="101">
        <f>39.85/F83</f>
        <v>26.925675675675677</v>
      </c>
      <c r="G88" s="164">
        <v>0</v>
      </c>
      <c r="H88" s="53"/>
      <c r="I88" s="53"/>
      <c r="J88" s="53"/>
      <c r="K88" s="53"/>
      <c r="L88" s="53"/>
      <c r="M88" s="53"/>
      <c r="N88" s="53"/>
    </row>
    <row r="89" spans="1:14" x14ac:dyDescent="0.4">
      <c r="A89" s="2"/>
      <c r="B89" s="394"/>
      <c r="C89" s="3" t="s">
        <v>74</v>
      </c>
      <c r="D89" s="134">
        <f>SUM(D87:D88)/2</f>
        <v>51.910000000000004</v>
      </c>
      <c r="E89" s="134">
        <f>SUM(E87:E88)/2</f>
        <v>15</v>
      </c>
      <c r="F89" s="134">
        <f>SUM(F87:F88)/2</f>
        <v>15.556302883430543</v>
      </c>
      <c r="G89" s="134">
        <f>SUM(G87:G88)/2</f>
        <v>2.5297619047619047</v>
      </c>
      <c r="H89" s="53"/>
      <c r="I89" s="53"/>
      <c r="J89" s="53"/>
      <c r="K89" s="53"/>
      <c r="L89" s="53"/>
      <c r="M89" s="53"/>
      <c r="N89" s="53"/>
    </row>
    <row r="90" spans="1:14" x14ac:dyDescent="0.35">
      <c r="A90" s="2"/>
      <c r="B90" s="394" t="s">
        <v>76</v>
      </c>
      <c r="C90" s="3" t="s">
        <v>612</v>
      </c>
      <c r="D90" s="65">
        <v>35.479999999999997</v>
      </c>
      <c r="E90" s="101">
        <f>768.29/4463.79*100</f>
        <v>17.21160717686092</v>
      </c>
      <c r="F90" s="52">
        <v>2.33</v>
      </c>
      <c r="G90" s="52">
        <v>5.47</v>
      </c>
      <c r="H90" s="53"/>
      <c r="I90" s="53"/>
      <c r="J90" s="53"/>
      <c r="K90" s="53"/>
      <c r="L90" s="53"/>
      <c r="M90" s="53"/>
      <c r="N90" s="53"/>
    </row>
    <row r="91" spans="1:14" x14ac:dyDescent="0.4">
      <c r="A91" s="2"/>
      <c r="B91" s="394"/>
      <c r="C91" s="3" t="s">
        <v>73</v>
      </c>
      <c r="D91" s="54"/>
      <c r="E91" s="20"/>
      <c r="F91" s="52"/>
      <c r="G91" s="52"/>
      <c r="H91" s="53"/>
      <c r="I91" s="53"/>
      <c r="J91" s="53"/>
      <c r="K91" s="53"/>
      <c r="L91" s="53"/>
      <c r="M91" s="53"/>
      <c r="N91" s="53"/>
    </row>
    <row r="92" spans="1:14" x14ac:dyDescent="0.4">
      <c r="A92" s="2"/>
      <c r="B92" s="394"/>
      <c r="C92" s="21" t="s">
        <v>613</v>
      </c>
      <c r="D92" s="54">
        <v>0.54</v>
      </c>
      <c r="E92" s="20">
        <v>3.93</v>
      </c>
      <c r="F92" s="52">
        <v>9.1</v>
      </c>
      <c r="G92" s="52">
        <v>8.35</v>
      </c>
      <c r="H92" s="53"/>
      <c r="I92" s="53"/>
      <c r="J92" s="53"/>
      <c r="K92" s="53"/>
      <c r="L92" s="53"/>
      <c r="M92" s="53"/>
      <c r="N92" s="53"/>
    </row>
    <row r="93" spans="1:14" x14ac:dyDescent="0.4">
      <c r="A93" s="2"/>
      <c r="B93" s="394"/>
      <c r="C93" s="21" t="s">
        <v>614</v>
      </c>
      <c r="D93" s="54">
        <v>4.8</v>
      </c>
      <c r="E93" s="20">
        <v>3.32</v>
      </c>
      <c r="F93" s="52">
        <v>2.0299999999999998</v>
      </c>
      <c r="G93" s="52">
        <v>-1.98</v>
      </c>
      <c r="H93" s="53"/>
      <c r="I93" s="53"/>
      <c r="J93" s="53"/>
      <c r="K93" s="53"/>
      <c r="L93" s="53"/>
      <c r="M93" s="53"/>
      <c r="N93" s="53"/>
    </row>
    <row r="94" spans="1:14" x14ac:dyDescent="0.4">
      <c r="A94" s="2"/>
      <c r="B94" s="394"/>
      <c r="C94" s="3" t="s">
        <v>74</v>
      </c>
      <c r="D94" s="134">
        <f>SUM(D92:D93)/2</f>
        <v>2.67</v>
      </c>
      <c r="E94" s="134">
        <f>SUM(E92:E93)/2</f>
        <v>3.625</v>
      </c>
      <c r="F94" s="134">
        <f>SUM(F92:F93)/2</f>
        <v>5.5649999999999995</v>
      </c>
      <c r="G94" s="134">
        <f>SUM(G92:G93)/2</f>
        <v>3.1849999999999996</v>
      </c>
      <c r="H94" s="53"/>
      <c r="I94" s="53"/>
      <c r="J94" s="53"/>
      <c r="K94" s="57"/>
      <c r="L94" s="53"/>
      <c r="M94" s="53"/>
      <c r="N94" s="53"/>
    </row>
    <row r="95" spans="1:14" x14ac:dyDescent="0.35">
      <c r="A95" s="2"/>
      <c r="B95" s="394" t="s">
        <v>77</v>
      </c>
      <c r="C95" s="3" t="s">
        <v>612</v>
      </c>
      <c r="D95" s="65">
        <v>228.54</v>
      </c>
      <c r="E95" s="101">
        <f>4463.79*100000/14296000</f>
        <v>31.224048684946837</v>
      </c>
      <c r="F95" s="52">
        <v>31.83</v>
      </c>
      <c r="G95" s="52">
        <v>33.74</v>
      </c>
      <c r="H95" s="53"/>
      <c r="I95" s="53"/>
      <c r="J95" s="53"/>
      <c r="K95" s="53"/>
      <c r="L95" s="53"/>
      <c r="M95" s="53"/>
      <c r="N95" s="53"/>
    </row>
    <row r="96" spans="1:14" x14ac:dyDescent="0.4">
      <c r="A96" s="2"/>
      <c r="B96" s="394"/>
      <c r="C96" s="3" t="s">
        <v>73</v>
      </c>
      <c r="D96" s="54"/>
      <c r="E96" s="20"/>
      <c r="F96" s="52"/>
      <c r="G96" s="52"/>
      <c r="H96" s="53"/>
      <c r="I96" s="53"/>
      <c r="J96" s="53"/>
      <c r="K96" s="53"/>
      <c r="L96" s="53"/>
      <c r="M96" s="53"/>
      <c r="N96" s="53"/>
    </row>
    <row r="97" spans="1:14" x14ac:dyDescent="0.4">
      <c r="A97" s="2"/>
      <c r="B97" s="411"/>
      <c r="C97" s="21" t="s">
        <v>613</v>
      </c>
      <c r="D97" s="54">
        <v>64.17</v>
      </c>
      <c r="E97" s="20">
        <v>60.95</v>
      </c>
      <c r="F97" s="52">
        <v>66.03</v>
      </c>
      <c r="G97" s="52">
        <v>64.599999999999994</v>
      </c>
      <c r="H97" s="53"/>
      <c r="I97" s="53"/>
      <c r="J97" s="53"/>
      <c r="K97" s="53"/>
      <c r="L97" s="53"/>
      <c r="M97" s="53"/>
      <c r="N97" s="53"/>
    </row>
    <row r="98" spans="1:14" x14ac:dyDescent="0.4">
      <c r="A98" s="2"/>
      <c r="B98" s="411"/>
      <c r="C98" s="21" t="s">
        <v>614</v>
      </c>
      <c r="D98" s="54">
        <v>76.13</v>
      </c>
      <c r="E98" s="20">
        <v>78.099999999999994</v>
      </c>
      <c r="F98" s="52">
        <v>70.239999999999995</v>
      </c>
      <c r="G98" s="52">
        <v>67.760000000000005</v>
      </c>
      <c r="H98" s="53"/>
      <c r="I98" s="53"/>
      <c r="J98" s="53"/>
      <c r="K98" s="53"/>
      <c r="L98" s="53"/>
      <c r="M98" s="53"/>
      <c r="N98" s="53"/>
    </row>
    <row r="99" spans="1:14" x14ac:dyDescent="0.4">
      <c r="A99" s="2"/>
      <c r="B99" s="411"/>
      <c r="C99" s="3" t="s">
        <v>74</v>
      </c>
      <c r="D99" s="134">
        <f>SUM(D97:D98)/2</f>
        <v>70.150000000000006</v>
      </c>
      <c r="E99" s="134">
        <f>SUM(E97:E98)/2</f>
        <v>69.525000000000006</v>
      </c>
      <c r="F99" s="134">
        <f t="shared" ref="F99:G99" si="0">SUM(F97:F98)/2</f>
        <v>68.134999999999991</v>
      </c>
      <c r="G99" s="134">
        <f t="shared" si="0"/>
        <v>66.180000000000007</v>
      </c>
      <c r="H99" s="53"/>
      <c r="I99" s="53"/>
      <c r="J99" s="53"/>
      <c r="K99" s="53"/>
      <c r="L99" s="53"/>
      <c r="M99" s="53"/>
      <c r="N99" s="53"/>
    </row>
    <row r="100" spans="1:14" s="1" customFormat="1" x14ac:dyDescent="0.4">
      <c r="B100" s="412"/>
      <c r="C100" s="413"/>
      <c r="D100" s="413"/>
      <c r="E100" s="413"/>
      <c r="F100" s="413"/>
      <c r="G100" s="414"/>
    </row>
    <row r="101" spans="1:14" x14ac:dyDescent="0.4">
      <c r="A101" s="2"/>
      <c r="B101" s="415" t="s">
        <v>615</v>
      </c>
      <c r="C101" s="416"/>
      <c r="D101" s="416"/>
      <c r="E101" s="416"/>
      <c r="F101" s="416"/>
      <c r="G101" s="417"/>
      <c r="H101" s="53"/>
      <c r="I101" s="53"/>
      <c r="J101" s="53"/>
      <c r="K101" s="53"/>
      <c r="L101" s="53"/>
      <c r="M101" s="53"/>
      <c r="N101" s="53"/>
    </row>
    <row r="102" spans="1:14" x14ac:dyDescent="0.4">
      <c r="A102" s="2"/>
      <c r="B102" s="418" t="s">
        <v>85</v>
      </c>
      <c r="C102" s="419"/>
      <c r="D102" s="419"/>
      <c r="E102" s="419"/>
      <c r="F102" s="419"/>
      <c r="G102" s="420"/>
      <c r="H102" s="53"/>
      <c r="I102" s="53"/>
      <c r="J102" s="53"/>
      <c r="K102" s="53"/>
      <c r="L102" s="53"/>
      <c r="M102" s="53"/>
      <c r="N102" s="53"/>
    </row>
    <row r="103" spans="1:14" x14ac:dyDescent="0.4">
      <c r="A103" s="2"/>
      <c r="B103" s="363"/>
      <c r="C103" s="368"/>
      <c r="D103" s="368"/>
      <c r="E103" s="368"/>
      <c r="F103" s="368"/>
      <c r="G103" s="369"/>
      <c r="H103" s="53"/>
      <c r="I103" s="53"/>
      <c r="J103" s="53"/>
      <c r="K103" s="53"/>
      <c r="L103" s="53"/>
      <c r="M103" s="53"/>
      <c r="N103" s="53"/>
    </row>
    <row r="104" spans="1:14" x14ac:dyDescent="0.4">
      <c r="C104" s="407"/>
      <c r="D104" s="407"/>
      <c r="E104" s="407"/>
      <c r="F104" s="407"/>
      <c r="G104" s="407"/>
      <c r="H104" s="53"/>
      <c r="I104" s="53"/>
    </row>
    <row r="105" spans="1:14" x14ac:dyDescent="0.4">
      <c r="A105" s="9">
        <v>14</v>
      </c>
      <c r="B105" s="61" t="s">
        <v>78</v>
      </c>
      <c r="C105" s="356" t="s">
        <v>41</v>
      </c>
      <c r="D105" s="357"/>
      <c r="E105" s="357"/>
      <c r="F105" s="357"/>
      <c r="G105" s="408"/>
    </row>
    <row r="106" spans="1:14" x14ac:dyDescent="0.4">
      <c r="A106" s="23"/>
      <c r="C106" s="69"/>
      <c r="D106" s="69"/>
      <c r="E106" s="69"/>
      <c r="F106" s="69"/>
      <c r="G106" s="69"/>
    </row>
    <row r="107" spans="1:14" x14ac:dyDescent="0.4">
      <c r="C107" s="69"/>
      <c r="D107" s="69"/>
      <c r="E107" s="69"/>
      <c r="F107" s="69"/>
      <c r="G107" s="69"/>
    </row>
    <row r="109" spans="1:14" x14ac:dyDescent="0.4">
      <c r="B109" s="409" t="s">
        <v>616</v>
      </c>
      <c r="C109" s="410"/>
      <c r="D109" s="410"/>
      <c r="E109" s="410"/>
      <c r="F109" s="410"/>
      <c r="G109" s="410"/>
      <c r="H109" s="410"/>
    </row>
    <row r="114" spans="4:5" x14ac:dyDescent="0.4">
      <c r="D114" s="107"/>
      <c r="E114" s="107"/>
    </row>
    <row r="115" spans="4:5" x14ac:dyDescent="0.4">
      <c r="E115" s="107"/>
    </row>
  </sheetData>
  <sheetProtection password="DB00" sheet="1" objects="1" scenarios="1"/>
  <mergeCells count="58">
    <mergeCell ref="C105:G105"/>
    <mergeCell ref="B109:H109"/>
    <mergeCell ref="B95:B99"/>
    <mergeCell ref="B100:G100"/>
    <mergeCell ref="B101:G101"/>
    <mergeCell ref="B102:G102"/>
    <mergeCell ref="B103:G103"/>
    <mergeCell ref="C104:G104"/>
    <mergeCell ref="B90:B94"/>
    <mergeCell ref="F67:H67"/>
    <mergeCell ref="I67:K67"/>
    <mergeCell ref="L67:N67"/>
    <mergeCell ref="B71:N71"/>
    <mergeCell ref="B72:N72"/>
    <mergeCell ref="B73:N73"/>
    <mergeCell ref="B74:N74"/>
    <mergeCell ref="B75:N75"/>
    <mergeCell ref="B77:G77"/>
    <mergeCell ref="B80:B84"/>
    <mergeCell ref="B85:B89"/>
    <mergeCell ref="C57:E57"/>
    <mergeCell ref="B58:E58"/>
    <mergeCell ref="B59:E59"/>
    <mergeCell ref="C61:E61"/>
    <mergeCell ref="B67:B68"/>
    <mergeCell ref="C67:C68"/>
    <mergeCell ref="D67:D68"/>
    <mergeCell ref="E67:E68"/>
    <mergeCell ref="C56:E56"/>
    <mergeCell ref="B39:C39"/>
    <mergeCell ref="B42:E42"/>
    <mergeCell ref="C43:E43"/>
    <mergeCell ref="C44:E44"/>
    <mergeCell ref="C45:E45"/>
    <mergeCell ref="B46:E46"/>
    <mergeCell ref="B48:E48"/>
    <mergeCell ref="B51:E51"/>
    <mergeCell ref="B53:E53"/>
    <mergeCell ref="B54:B55"/>
    <mergeCell ref="C54:E55"/>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111"/>
  <sheetViews>
    <sheetView workbookViewId="0">
      <selection activeCell="C8" sqref="C8"/>
    </sheetView>
  </sheetViews>
  <sheetFormatPr defaultColWidth="8.84375" defaultRowHeight="13.25" x14ac:dyDescent="0.4"/>
  <cols>
    <col min="1" max="1" width="8.84375" style="8"/>
    <col min="2" max="2" width="40.84375" style="8" customWidth="1"/>
    <col min="3" max="3" width="43.4609375" style="8" customWidth="1"/>
    <col min="4" max="4" width="15.84375" style="8" customWidth="1"/>
    <col min="5" max="5" width="22.3046875" style="8" customWidth="1"/>
    <col min="6" max="7" width="13" style="8" customWidth="1"/>
    <col min="8" max="16384" width="8.84375" style="8"/>
  </cols>
  <sheetData>
    <row r="1" spans="1:5" x14ac:dyDescent="0.4">
      <c r="A1" s="355" t="s">
        <v>0</v>
      </c>
      <c r="B1" s="355"/>
      <c r="D1" s="1"/>
    </row>
    <row r="3" spans="1:5" x14ac:dyDescent="0.4">
      <c r="A3" s="2" t="s">
        <v>1</v>
      </c>
      <c r="B3" s="3" t="s">
        <v>2</v>
      </c>
      <c r="C3" s="4" t="s">
        <v>617</v>
      </c>
    </row>
    <row r="4" spans="1:5" x14ac:dyDescent="0.4">
      <c r="D4" s="5"/>
    </row>
    <row r="5" spans="1:5" x14ac:dyDescent="0.4">
      <c r="A5" s="6">
        <v>1</v>
      </c>
      <c r="B5" s="7" t="s">
        <v>3</v>
      </c>
      <c r="C5" s="356" t="s">
        <v>90</v>
      </c>
      <c r="D5" s="357"/>
      <c r="E5" s="358"/>
    </row>
    <row r="6" spans="1:5" x14ac:dyDescent="0.4">
      <c r="A6" s="9"/>
      <c r="B6" s="359" t="s">
        <v>5</v>
      </c>
      <c r="C6" s="359"/>
      <c r="D6" s="359"/>
      <c r="E6" s="10"/>
    </row>
    <row r="7" spans="1:5" x14ac:dyDescent="0.4">
      <c r="A7" s="9"/>
      <c r="B7" s="11"/>
      <c r="D7" s="5"/>
    </row>
    <row r="8" spans="1:5" x14ac:dyDescent="0.4">
      <c r="A8" s="9">
        <v>2</v>
      </c>
      <c r="B8" s="7" t="s">
        <v>6</v>
      </c>
      <c r="C8" s="12" t="s">
        <v>618</v>
      </c>
      <c r="D8" s="5"/>
    </row>
    <row r="9" spans="1:5" x14ac:dyDescent="0.4">
      <c r="A9" s="9"/>
      <c r="B9" s="360" t="s">
        <v>5</v>
      </c>
      <c r="C9" s="361"/>
      <c r="D9" s="362"/>
    </row>
    <row r="10" spans="1:5" x14ac:dyDescent="0.4">
      <c r="A10" s="9"/>
      <c r="B10" s="11"/>
      <c r="D10" s="5"/>
    </row>
    <row r="11" spans="1:5" x14ac:dyDescent="0.4">
      <c r="A11" s="9">
        <v>3</v>
      </c>
      <c r="B11" s="7" t="s">
        <v>7</v>
      </c>
      <c r="C11" s="356" t="s">
        <v>8</v>
      </c>
      <c r="D11" s="357"/>
      <c r="E11" s="358"/>
    </row>
    <row r="12" spans="1:5" x14ac:dyDescent="0.4">
      <c r="A12" s="9"/>
      <c r="B12" s="359" t="s">
        <v>5</v>
      </c>
      <c r="C12" s="359"/>
      <c r="D12" s="359"/>
      <c r="E12" s="10"/>
    </row>
    <row r="13" spans="1:5" x14ac:dyDescent="0.4">
      <c r="A13" s="9"/>
      <c r="B13" s="11"/>
      <c r="D13" s="5"/>
    </row>
    <row r="14" spans="1:5" x14ac:dyDescent="0.4">
      <c r="A14" s="9">
        <v>4</v>
      </c>
      <c r="B14" s="3" t="s">
        <v>9</v>
      </c>
      <c r="C14" s="4" t="s">
        <v>619</v>
      </c>
      <c r="D14" s="5"/>
    </row>
    <row r="15" spans="1:5" x14ac:dyDescent="0.4">
      <c r="A15" s="9"/>
      <c r="B15" s="363" t="s">
        <v>10</v>
      </c>
      <c r="C15" s="364"/>
      <c r="D15" s="5"/>
    </row>
    <row r="16" spans="1:5" x14ac:dyDescent="0.4">
      <c r="A16" s="9"/>
      <c r="D16" s="5"/>
    </row>
    <row r="17" spans="1:13" x14ac:dyDescent="0.4">
      <c r="A17" s="9">
        <v>5</v>
      </c>
      <c r="B17" s="365" t="s">
        <v>11</v>
      </c>
      <c r="C17" s="366"/>
      <c r="D17" s="366"/>
      <c r="E17" s="366"/>
      <c r="F17" s="11"/>
      <c r="G17" s="11"/>
      <c r="H17" s="11"/>
      <c r="I17" s="11"/>
      <c r="J17" s="13"/>
      <c r="K17" s="13"/>
      <c r="L17" s="13"/>
      <c r="M17" s="13"/>
    </row>
    <row r="18" spans="1:13" x14ac:dyDescent="0.4">
      <c r="A18" s="9"/>
      <c r="B18" s="14" t="s">
        <v>12</v>
      </c>
      <c r="C18" s="367" t="s">
        <v>13</v>
      </c>
      <c r="D18" s="367"/>
      <c r="E18" s="367"/>
      <c r="F18" s="15"/>
      <c r="G18" s="13"/>
      <c r="H18" s="13"/>
      <c r="I18" s="13"/>
      <c r="J18" s="13"/>
      <c r="K18" s="13"/>
      <c r="L18" s="13"/>
      <c r="M18" s="13"/>
    </row>
    <row r="19" spans="1:13" ht="25.65" x14ac:dyDescent="0.4">
      <c r="A19" s="9"/>
      <c r="B19" s="14" t="s">
        <v>604</v>
      </c>
      <c r="C19" s="354" t="s">
        <v>13</v>
      </c>
      <c r="D19" s="354"/>
      <c r="E19" s="354"/>
      <c r="F19" s="15"/>
      <c r="G19" s="13"/>
      <c r="I19" s="13"/>
      <c r="J19" s="13"/>
      <c r="K19" s="13"/>
      <c r="L19" s="13"/>
      <c r="M19" s="13"/>
    </row>
    <row r="20" spans="1:13" x14ac:dyDescent="0.4">
      <c r="A20" s="9"/>
      <c r="B20" s="14" t="s">
        <v>605</v>
      </c>
      <c r="C20" s="354" t="s">
        <v>13</v>
      </c>
      <c r="D20" s="354"/>
      <c r="E20" s="354"/>
      <c r="F20" s="15"/>
      <c r="G20" s="13"/>
      <c r="H20" s="13"/>
      <c r="I20" s="13"/>
      <c r="J20" s="13"/>
      <c r="K20" s="13"/>
      <c r="L20" s="13"/>
      <c r="M20" s="13"/>
    </row>
    <row r="21" spans="1:13" x14ac:dyDescent="0.4">
      <c r="A21" s="9"/>
      <c r="B21" s="14" t="s">
        <v>15</v>
      </c>
      <c r="C21" s="367">
        <v>2.2700000000000001E-2</v>
      </c>
      <c r="D21" s="354"/>
      <c r="E21" s="354"/>
      <c r="F21" s="15"/>
      <c r="G21" s="13"/>
      <c r="H21" s="13"/>
      <c r="I21" s="13"/>
      <c r="J21" s="13"/>
      <c r="K21" s="13"/>
      <c r="L21" s="13"/>
      <c r="M21" s="13"/>
    </row>
    <row r="22" spans="1:13" x14ac:dyDescent="0.4">
      <c r="A22" s="9"/>
      <c r="B22" s="16" t="s">
        <v>16</v>
      </c>
      <c r="C22" s="447" t="s">
        <v>13</v>
      </c>
      <c r="D22" s="447"/>
      <c r="E22" s="447"/>
      <c r="F22" s="15"/>
      <c r="G22" s="13"/>
      <c r="H22" s="13"/>
      <c r="I22" s="13"/>
      <c r="J22" s="13"/>
      <c r="K22" s="13"/>
      <c r="L22" s="13"/>
      <c r="M22" s="13"/>
    </row>
    <row r="23" spans="1:13" x14ac:dyDescent="0.4">
      <c r="A23" s="9"/>
      <c r="B23" s="363"/>
      <c r="C23" s="368"/>
      <c r="D23" s="368"/>
      <c r="E23" s="369"/>
      <c r="F23" s="15"/>
      <c r="G23" s="13"/>
      <c r="H23" s="13"/>
      <c r="I23" s="13"/>
      <c r="J23" s="13"/>
      <c r="K23" s="13"/>
      <c r="L23" s="13"/>
      <c r="M23" s="13"/>
    </row>
    <row r="24" spans="1:13" x14ac:dyDescent="0.4">
      <c r="A24" s="9"/>
      <c r="C24" s="13"/>
      <c r="D24" s="13"/>
      <c r="E24" s="13"/>
      <c r="F24" s="15"/>
      <c r="G24" s="13"/>
      <c r="H24" s="13"/>
      <c r="I24" s="13"/>
      <c r="J24" s="13"/>
      <c r="K24" s="13"/>
      <c r="L24" s="13"/>
      <c r="M24" s="13"/>
    </row>
    <row r="25" spans="1:13" x14ac:dyDescent="0.4">
      <c r="A25" s="9"/>
      <c r="B25" s="15"/>
      <c r="C25" s="15"/>
      <c r="D25" s="15"/>
      <c r="E25" s="15"/>
      <c r="F25" s="15"/>
      <c r="G25" s="13"/>
      <c r="H25" s="13"/>
      <c r="I25" s="13"/>
      <c r="J25" s="13"/>
      <c r="K25" s="13"/>
      <c r="L25" s="13"/>
      <c r="M25" s="13"/>
    </row>
    <row r="26" spans="1:13" x14ac:dyDescent="0.4">
      <c r="A26" s="9">
        <v>6</v>
      </c>
      <c r="B26" s="365" t="s">
        <v>18</v>
      </c>
      <c r="C26" s="365"/>
      <c r="D26" s="365"/>
      <c r="E26" s="365"/>
      <c r="F26" s="11"/>
      <c r="G26" s="11"/>
      <c r="H26" s="13"/>
      <c r="I26" s="11"/>
      <c r="J26" s="11"/>
    </row>
    <row r="27" spans="1:13" x14ac:dyDescent="0.4">
      <c r="A27" s="9"/>
      <c r="B27" s="370" t="s">
        <v>19</v>
      </c>
      <c r="C27" s="371"/>
      <c r="D27" s="371"/>
      <c r="E27" s="372"/>
      <c r="F27" s="15"/>
    </row>
    <row r="28" spans="1:13" x14ac:dyDescent="0.4">
      <c r="A28" s="9"/>
      <c r="B28" s="17" t="s">
        <v>20</v>
      </c>
      <c r="C28" s="18" t="s">
        <v>202</v>
      </c>
      <c r="D28" s="18" t="s">
        <v>22</v>
      </c>
      <c r="E28" s="18" t="s">
        <v>23</v>
      </c>
      <c r="F28" s="15"/>
    </row>
    <row r="29" spans="1:13" x14ac:dyDescent="0.35">
      <c r="A29" s="9"/>
      <c r="B29" s="19" t="s">
        <v>24</v>
      </c>
      <c r="C29" s="157">
        <v>6484.96</v>
      </c>
      <c r="D29" s="20">
        <v>5996.24</v>
      </c>
      <c r="E29" s="20">
        <v>7909.17</v>
      </c>
    </row>
    <row r="30" spans="1:13" x14ac:dyDescent="0.4">
      <c r="A30" s="9"/>
      <c r="B30" s="19" t="s">
        <v>25</v>
      </c>
      <c r="C30" s="20">
        <v>370.46</v>
      </c>
      <c r="D30" s="20">
        <v>285.20999999999998</v>
      </c>
      <c r="E30" s="20">
        <v>332.35</v>
      </c>
    </row>
    <row r="31" spans="1:13" x14ac:dyDescent="0.4">
      <c r="A31" s="9"/>
      <c r="B31" s="19" t="s">
        <v>26</v>
      </c>
      <c r="C31" s="113">
        <v>1000.8</v>
      </c>
      <c r="D31" s="113">
        <v>1000.8</v>
      </c>
      <c r="E31" s="113">
        <v>1000.8</v>
      </c>
    </row>
    <row r="32" spans="1:13" x14ac:dyDescent="0.4">
      <c r="A32" s="9"/>
      <c r="B32" s="19" t="s">
        <v>27</v>
      </c>
      <c r="C32" s="20">
        <v>516.32000000000005</v>
      </c>
      <c r="D32" s="20">
        <v>1781.42</v>
      </c>
      <c r="E32" s="20">
        <v>2113.77</v>
      </c>
    </row>
    <row r="33" spans="1:10" x14ac:dyDescent="0.4">
      <c r="A33" s="9"/>
      <c r="B33" s="363"/>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c r="G38" s="8" t="s">
        <v>693</v>
      </c>
    </row>
    <row r="39" spans="1:10" x14ac:dyDescent="0.4">
      <c r="A39" s="9"/>
      <c r="B39" s="359"/>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839</v>
      </c>
      <c r="D44" s="374"/>
      <c r="E44" s="375"/>
      <c r="F44" s="13"/>
    </row>
    <row r="45" spans="1:10" x14ac:dyDescent="0.4">
      <c r="A45" s="9"/>
      <c r="B45" s="17" t="s">
        <v>32</v>
      </c>
      <c r="C45" s="446" t="s">
        <v>840</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3" ht="25.65" x14ac:dyDescent="0.4">
      <c r="A49" s="24"/>
      <c r="B49" s="26" t="s">
        <v>37</v>
      </c>
      <c r="C49" s="27" t="s">
        <v>38</v>
      </c>
      <c r="D49" s="28" t="s">
        <v>39</v>
      </c>
      <c r="E49" s="27" t="s">
        <v>206</v>
      </c>
    </row>
    <row r="50" spans="1:13" ht="185.55" x14ac:dyDescent="0.4">
      <c r="A50" s="29"/>
      <c r="B50" s="78" t="s">
        <v>307</v>
      </c>
      <c r="C50" s="78" t="s">
        <v>620</v>
      </c>
      <c r="D50" s="78" t="s">
        <v>841</v>
      </c>
      <c r="E50" s="27"/>
    </row>
    <row r="51" spans="1:13" x14ac:dyDescent="0.4">
      <c r="A51" s="31"/>
      <c r="B51" s="380" t="s">
        <v>621</v>
      </c>
      <c r="C51" s="381"/>
      <c r="D51" s="381"/>
      <c r="E51" s="382"/>
      <c r="F51" s="15"/>
      <c r="G51" s="15"/>
      <c r="H51" s="15"/>
    </row>
    <row r="52" spans="1:13" x14ac:dyDescent="0.4">
      <c r="A52" s="32"/>
      <c r="B52" s="62"/>
      <c r="C52" s="23"/>
      <c r="D52" s="23"/>
      <c r="E52" s="23"/>
      <c r="F52" s="15"/>
      <c r="G52" s="15"/>
      <c r="H52" s="15"/>
      <c r="I52" s="15"/>
    </row>
    <row r="53" spans="1:13" x14ac:dyDescent="0.4">
      <c r="A53" s="24">
        <v>10</v>
      </c>
      <c r="B53" s="376" t="s">
        <v>36</v>
      </c>
      <c r="C53" s="365"/>
      <c r="D53" s="365"/>
      <c r="E53" s="365"/>
      <c r="F53" s="15"/>
      <c r="G53" s="15"/>
      <c r="H53" s="15"/>
    </row>
    <row r="54" spans="1:13" x14ac:dyDescent="0.4">
      <c r="A54" s="29"/>
      <c r="B54" s="383" t="s">
        <v>43</v>
      </c>
      <c r="C54" s="385" t="s">
        <v>622</v>
      </c>
      <c r="D54" s="386"/>
      <c r="E54" s="387"/>
    </row>
    <row r="55" spans="1:13" x14ac:dyDescent="0.4">
      <c r="A55" s="29"/>
      <c r="B55" s="384"/>
      <c r="C55" s="388"/>
      <c r="D55" s="389"/>
      <c r="E55" s="390"/>
    </row>
    <row r="56" spans="1:13" x14ac:dyDescent="0.4">
      <c r="A56" s="24"/>
      <c r="B56" s="33" t="s">
        <v>44</v>
      </c>
      <c r="C56" s="391" t="s">
        <v>842</v>
      </c>
      <c r="D56" s="391"/>
      <c r="E56" s="391"/>
    </row>
    <row r="57" spans="1:13" x14ac:dyDescent="0.4">
      <c r="A57" s="29"/>
      <c r="B57" s="33" t="s">
        <v>45</v>
      </c>
      <c r="C57" s="391" t="s">
        <v>46</v>
      </c>
      <c r="D57" s="391"/>
      <c r="E57" s="391"/>
    </row>
    <row r="58" spans="1:13" x14ac:dyDescent="0.4">
      <c r="A58" s="29"/>
      <c r="B58" s="380" t="s">
        <v>623</v>
      </c>
      <c r="C58" s="381"/>
      <c r="D58" s="381"/>
      <c r="E58" s="382"/>
    </row>
    <row r="59" spans="1:13" s="63" customFormat="1" x14ac:dyDescent="0.35">
      <c r="A59" s="35" t="s">
        <v>47</v>
      </c>
      <c r="B59" s="392" t="s">
        <v>48</v>
      </c>
      <c r="C59" s="392"/>
      <c r="D59" s="392"/>
      <c r="E59" s="392"/>
    </row>
    <row r="60" spans="1:13" x14ac:dyDescent="0.4">
      <c r="A60" s="40"/>
      <c r="B60" s="41"/>
      <c r="C60" s="42"/>
      <c r="D60" s="42"/>
      <c r="E60" s="42"/>
      <c r="F60" s="42"/>
    </row>
    <row r="61" spans="1:13" x14ac:dyDescent="0.4">
      <c r="A61" s="9">
        <v>11</v>
      </c>
      <c r="B61" s="3" t="s">
        <v>49</v>
      </c>
      <c r="C61" s="393" t="s">
        <v>50</v>
      </c>
      <c r="D61" s="393"/>
      <c r="E61" s="393"/>
      <c r="F61" s="11"/>
      <c r="G61" s="11"/>
      <c r="H61" s="43"/>
      <c r="I61" s="11"/>
      <c r="J61" s="11"/>
    </row>
    <row r="62" spans="1:13" x14ac:dyDescent="0.4">
      <c r="A62" s="9"/>
      <c r="B62" s="15"/>
      <c r="C62" s="15"/>
      <c r="D62" s="15"/>
      <c r="E62" s="15"/>
      <c r="F62" s="15"/>
      <c r="G62" s="15"/>
      <c r="H62" s="44"/>
      <c r="I62" s="44"/>
      <c r="J62" s="15"/>
    </row>
    <row r="63" spans="1:13" x14ac:dyDescent="0.4">
      <c r="A63" s="9">
        <v>12</v>
      </c>
      <c r="B63" s="11" t="s">
        <v>51</v>
      </c>
      <c r="C63" s="11"/>
      <c r="D63" s="11"/>
      <c r="E63" s="43"/>
      <c r="F63" s="43"/>
      <c r="G63" s="11"/>
      <c r="H63" s="11"/>
      <c r="I63" s="11"/>
      <c r="J63" s="11"/>
      <c r="K63" s="11"/>
      <c r="L63" s="11"/>
      <c r="M63" s="11"/>
    </row>
    <row r="64" spans="1:13" x14ac:dyDescent="0.4">
      <c r="A64" s="9"/>
      <c r="B64" s="11"/>
      <c r="C64" s="11"/>
      <c r="D64" s="11"/>
      <c r="E64" s="43"/>
      <c r="F64" s="43"/>
      <c r="G64" s="43"/>
      <c r="H64" s="11"/>
      <c r="I64" s="11"/>
      <c r="J64" s="11"/>
      <c r="K64" s="11"/>
      <c r="L64" s="11"/>
      <c r="M64" s="11"/>
    </row>
    <row r="65" spans="1:14" x14ac:dyDescent="0.4">
      <c r="A65" s="9"/>
      <c r="B65" s="17" t="s">
        <v>52</v>
      </c>
      <c r="C65" s="19" t="s">
        <v>624</v>
      </c>
      <c r="D65" s="15"/>
      <c r="E65" s="15"/>
      <c r="F65" s="44"/>
      <c r="G65" s="44"/>
      <c r="H65" s="15"/>
      <c r="I65" s="15"/>
      <c r="J65" s="15"/>
      <c r="K65" s="15"/>
      <c r="L65" s="15"/>
      <c r="M65" s="15"/>
    </row>
    <row r="66" spans="1:14" x14ac:dyDescent="0.4">
      <c r="A66" s="9"/>
      <c r="B66" s="15"/>
      <c r="C66" s="15"/>
      <c r="D66" s="15"/>
      <c r="E66" s="15"/>
      <c r="F66" s="15"/>
      <c r="G66" s="15"/>
      <c r="H66" s="15"/>
      <c r="I66" s="15"/>
      <c r="J66" s="15"/>
      <c r="K66" s="15"/>
      <c r="L66" s="15"/>
      <c r="M66" s="15"/>
    </row>
    <row r="67" spans="1:14" x14ac:dyDescent="0.4">
      <c r="A67" s="9"/>
      <c r="B67" s="365" t="s">
        <v>53</v>
      </c>
      <c r="C67" s="366" t="s">
        <v>625</v>
      </c>
      <c r="D67" s="366" t="s">
        <v>271</v>
      </c>
      <c r="E67" s="403" t="s">
        <v>232</v>
      </c>
      <c r="F67" s="395" t="s">
        <v>626</v>
      </c>
      <c r="G67" s="396"/>
      <c r="H67" s="397"/>
      <c r="I67" s="398" t="s">
        <v>55</v>
      </c>
      <c r="J67" s="398"/>
      <c r="K67" s="398" t="s">
        <v>56</v>
      </c>
      <c r="L67" s="398"/>
      <c r="M67" s="398"/>
    </row>
    <row r="68" spans="1:14" ht="38.450000000000003" x14ac:dyDescent="0.4">
      <c r="A68" s="2"/>
      <c r="B68" s="365"/>
      <c r="C68" s="402"/>
      <c r="D68" s="402"/>
      <c r="E68" s="404"/>
      <c r="F68" s="17" t="s">
        <v>57</v>
      </c>
      <c r="G68" s="17" t="s">
        <v>58</v>
      </c>
      <c r="H68" s="17" t="s">
        <v>59</v>
      </c>
      <c r="I68" s="17" t="s">
        <v>60</v>
      </c>
      <c r="J68" s="17" t="s">
        <v>58</v>
      </c>
      <c r="K68" s="17" t="s">
        <v>60</v>
      </c>
      <c r="L68" s="17" t="s">
        <v>58</v>
      </c>
      <c r="M68" s="17" t="s">
        <v>59</v>
      </c>
    </row>
    <row r="69" spans="1:14" x14ac:dyDescent="0.4">
      <c r="A69" s="2"/>
      <c r="B69" s="17" t="s">
        <v>103</v>
      </c>
      <c r="C69" s="108">
        <v>36.950000000000003</v>
      </c>
      <c r="D69" s="46">
        <v>36.9</v>
      </c>
      <c r="E69" s="46">
        <v>36.9</v>
      </c>
      <c r="F69" s="46">
        <v>37.200000000000003</v>
      </c>
      <c r="G69" s="46">
        <v>41.5</v>
      </c>
      <c r="H69" s="46">
        <v>36.1</v>
      </c>
      <c r="I69" s="45">
        <v>38.75</v>
      </c>
      <c r="J69" s="45">
        <v>41.95</v>
      </c>
      <c r="K69" s="45">
        <v>61.15</v>
      </c>
      <c r="L69" s="45">
        <v>61.15</v>
      </c>
      <c r="M69" s="45">
        <v>61</v>
      </c>
    </row>
    <row r="70" spans="1:14" ht="25.65" x14ac:dyDescent="0.4">
      <c r="A70" s="2"/>
      <c r="B70" s="17" t="s">
        <v>627</v>
      </c>
      <c r="C70" s="108">
        <v>10808.05</v>
      </c>
      <c r="D70" s="46">
        <v>10936.85</v>
      </c>
      <c r="E70" s="46">
        <v>11369.9</v>
      </c>
      <c r="F70" s="45">
        <v>11623.9</v>
      </c>
      <c r="G70" s="45">
        <v>11760.2</v>
      </c>
      <c r="H70" s="45">
        <v>10004.549999999999</v>
      </c>
      <c r="I70" s="45">
        <v>8597.75</v>
      </c>
      <c r="J70" s="45">
        <v>12430.5</v>
      </c>
      <c r="K70" s="45">
        <v>14690.7</v>
      </c>
      <c r="L70" s="45">
        <v>15431.75</v>
      </c>
      <c r="M70" s="45">
        <v>8055.8</v>
      </c>
    </row>
    <row r="71" spans="1:14" x14ac:dyDescent="0.4">
      <c r="A71" s="2"/>
      <c r="B71" s="401" t="s">
        <v>94</v>
      </c>
      <c r="C71" s="401"/>
      <c r="D71" s="401"/>
      <c r="E71" s="401"/>
      <c r="F71" s="401"/>
      <c r="G71" s="401"/>
      <c r="H71" s="401"/>
      <c r="I71" s="401"/>
      <c r="J71" s="401"/>
      <c r="K71" s="401"/>
      <c r="L71" s="401"/>
      <c r="M71" s="401"/>
      <c r="N71" s="8" t="s">
        <v>693</v>
      </c>
    </row>
    <row r="72" spans="1:14" x14ac:dyDescent="0.4">
      <c r="A72" s="2"/>
      <c r="B72" s="359" t="s">
        <v>63</v>
      </c>
      <c r="C72" s="359"/>
      <c r="D72" s="359"/>
      <c r="E72" s="359"/>
      <c r="F72" s="359"/>
      <c r="G72" s="359"/>
      <c r="H72" s="359"/>
      <c r="I72" s="359"/>
      <c r="J72" s="359"/>
      <c r="K72" s="359"/>
      <c r="L72" s="359"/>
      <c r="M72" s="359"/>
    </row>
    <row r="73" spans="1:14" s="1" customFormat="1" x14ac:dyDescent="0.4">
      <c r="B73" s="359" t="s">
        <v>64</v>
      </c>
      <c r="C73" s="359"/>
      <c r="D73" s="359"/>
      <c r="E73" s="359"/>
      <c r="F73" s="359"/>
      <c r="G73" s="359"/>
      <c r="H73" s="359"/>
      <c r="I73" s="359"/>
      <c r="J73" s="359"/>
      <c r="K73" s="359"/>
      <c r="L73" s="359"/>
      <c r="M73" s="359"/>
    </row>
    <row r="74" spans="1:14" x14ac:dyDescent="0.4">
      <c r="A74" s="2"/>
      <c r="B74" s="359" t="s">
        <v>358</v>
      </c>
      <c r="C74" s="359"/>
      <c r="D74" s="359"/>
      <c r="E74" s="359"/>
      <c r="F74" s="359"/>
      <c r="G74" s="359"/>
      <c r="H74" s="359"/>
      <c r="I74" s="359"/>
      <c r="J74" s="359"/>
      <c r="K74" s="359"/>
      <c r="L74" s="359"/>
      <c r="M74" s="359"/>
    </row>
    <row r="75" spans="1:14" x14ac:dyDescent="0.4">
      <c r="A75" s="2"/>
      <c r="B75" s="359" t="s">
        <v>65</v>
      </c>
      <c r="C75" s="359"/>
      <c r="D75" s="359"/>
      <c r="E75" s="359"/>
      <c r="F75" s="359"/>
      <c r="G75" s="359"/>
      <c r="H75" s="359"/>
      <c r="I75" s="359"/>
      <c r="J75" s="359"/>
      <c r="K75" s="359"/>
      <c r="L75" s="359"/>
      <c r="M75" s="359"/>
    </row>
    <row r="76" spans="1:14" x14ac:dyDescent="0.4">
      <c r="A76" s="2"/>
      <c r="B76" s="49"/>
      <c r="C76" s="49"/>
      <c r="D76" s="49"/>
      <c r="E76" s="49"/>
      <c r="F76" s="49"/>
      <c r="G76" s="13"/>
      <c r="H76" s="13"/>
      <c r="I76" s="13"/>
      <c r="J76" s="13"/>
      <c r="K76" s="13"/>
      <c r="L76" s="13"/>
      <c r="M76" s="13"/>
    </row>
    <row r="77" spans="1:14" x14ac:dyDescent="0.4">
      <c r="A77" s="9">
        <v>13</v>
      </c>
      <c r="B77" s="405" t="s">
        <v>66</v>
      </c>
      <c r="C77" s="406"/>
      <c r="D77" s="406"/>
      <c r="E77" s="406"/>
      <c r="F77" s="406"/>
      <c r="G77" s="376"/>
      <c r="H77" s="11"/>
      <c r="I77" s="11"/>
      <c r="J77" s="11"/>
      <c r="K77" s="11"/>
      <c r="L77" s="11"/>
      <c r="M77" s="11"/>
    </row>
    <row r="78" spans="1:14" x14ac:dyDescent="0.4">
      <c r="A78" s="9"/>
      <c r="C78" s="15"/>
      <c r="D78" s="15"/>
      <c r="E78" s="15"/>
      <c r="F78" s="15"/>
      <c r="G78" s="15"/>
      <c r="H78" s="15"/>
      <c r="I78" s="15"/>
      <c r="J78" s="15"/>
      <c r="K78" s="15"/>
      <c r="L78" s="15"/>
      <c r="M78" s="15"/>
    </row>
    <row r="79" spans="1:14" ht="102.5" x14ac:dyDescent="0.4">
      <c r="A79" s="2"/>
      <c r="B79" s="50" t="s">
        <v>67</v>
      </c>
      <c r="C79" s="18" t="s">
        <v>68</v>
      </c>
      <c r="D79" s="18" t="s">
        <v>69</v>
      </c>
      <c r="E79" s="18" t="s">
        <v>218</v>
      </c>
      <c r="F79" s="18" t="s">
        <v>71</v>
      </c>
      <c r="G79" s="18" t="s">
        <v>107</v>
      </c>
      <c r="H79" s="13"/>
      <c r="I79" s="13"/>
      <c r="J79" s="13"/>
      <c r="K79" s="13"/>
      <c r="L79" s="13"/>
      <c r="M79" s="13"/>
    </row>
    <row r="80" spans="1:14" x14ac:dyDescent="0.4">
      <c r="A80" s="2"/>
      <c r="B80" s="394" t="s">
        <v>72</v>
      </c>
      <c r="C80" s="3" t="s">
        <v>628</v>
      </c>
      <c r="D80" s="152">
        <v>1.1200000000000001</v>
      </c>
      <c r="E80" s="52">
        <v>3.92</v>
      </c>
      <c r="F80" s="52">
        <v>2.85</v>
      </c>
      <c r="G80" s="52">
        <v>3.32</v>
      </c>
      <c r="H80" s="53"/>
      <c r="I80" s="53"/>
      <c r="J80" s="53"/>
      <c r="K80" s="53"/>
      <c r="L80" s="53"/>
      <c r="M80" s="53"/>
    </row>
    <row r="81" spans="1:13" x14ac:dyDescent="0.4">
      <c r="A81" s="2"/>
      <c r="B81" s="394"/>
      <c r="C81" s="3" t="s">
        <v>73</v>
      </c>
      <c r="D81" s="151"/>
      <c r="E81" s="52"/>
      <c r="F81" s="52"/>
      <c r="G81" s="52"/>
      <c r="H81" s="53"/>
      <c r="I81" s="53"/>
      <c r="J81" s="53"/>
      <c r="K81" s="53"/>
      <c r="L81" s="53"/>
      <c r="M81" s="53"/>
    </row>
    <row r="82" spans="1:13" ht="26.5" x14ac:dyDescent="0.4">
      <c r="A82" s="2"/>
      <c r="B82" s="394"/>
      <c r="C82" s="158" t="s">
        <v>629</v>
      </c>
      <c r="D82" s="151">
        <v>-10.17</v>
      </c>
      <c r="E82" s="52">
        <v>-46.41</v>
      </c>
      <c r="F82" s="52" t="s">
        <v>843</v>
      </c>
      <c r="G82" s="52" t="s">
        <v>843</v>
      </c>
      <c r="H82" s="53"/>
      <c r="I82" s="53"/>
      <c r="J82" s="53"/>
      <c r="K82" s="53"/>
      <c r="L82" s="53"/>
      <c r="M82" s="53"/>
    </row>
    <row r="83" spans="1:13" x14ac:dyDescent="0.4">
      <c r="A83" s="2"/>
      <c r="B83" s="394"/>
      <c r="C83" s="3" t="s">
        <v>74</v>
      </c>
      <c r="D83" s="153"/>
      <c r="E83" s="52"/>
      <c r="F83" s="52"/>
      <c r="G83" s="52"/>
      <c r="H83" s="53"/>
      <c r="I83" s="53"/>
      <c r="J83" s="53"/>
      <c r="K83" s="53"/>
      <c r="L83" s="53"/>
      <c r="M83" s="53"/>
    </row>
    <row r="84" spans="1:13" x14ac:dyDescent="0.4">
      <c r="A84" s="2"/>
      <c r="B84" s="394" t="s">
        <v>75</v>
      </c>
      <c r="C84" s="3" t="s">
        <v>628</v>
      </c>
      <c r="D84" s="154">
        <v>32.119999999999997</v>
      </c>
      <c r="E84" s="55">
        <f>F69/E80</f>
        <v>9.4897959183673475</v>
      </c>
      <c r="F84" s="55">
        <f>I69/F80</f>
        <v>13.596491228070175</v>
      </c>
      <c r="G84" s="55">
        <f>K69/G80</f>
        <v>18.418674698795183</v>
      </c>
      <c r="H84" s="53"/>
      <c r="I84" s="53" t="s">
        <v>693</v>
      </c>
      <c r="J84" s="53"/>
      <c r="K84" s="53"/>
      <c r="L84" s="53"/>
      <c r="M84" s="53"/>
    </row>
    <row r="85" spans="1:13" x14ac:dyDescent="0.4">
      <c r="A85" s="2"/>
      <c r="B85" s="394"/>
      <c r="C85" s="3" t="s">
        <v>73</v>
      </c>
      <c r="D85" s="151"/>
      <c r="E85" s="52"/>
      <c r="F85" s="52"/>
      <c r="G85" s="52"/>
      <c r="H85" s="53"/>
      <c r="I85" s="53"/>
      <c r="J85" s="53"/>
      <c r="K85" s="53"/>
      <c r="L85" s="53"/>
      <c r="M85" s="53"/>
    </row>
    <row r="86" spans="1:13" ht="26.5" x14ac:dyDescent="0.3">
      <c r="A86" s="2"/>
      <c r="B86" s="394"/>
      <c r="C86" s="148" t="s">
        <v>629</v>
      </c>
      <c r="D86" s="153" t="s">
        <v>84</v>
      </c>
      <c r="E86" s="52">
        <v>-1.72</v>
      </c>
      <c r="F86" s="52" t="s">
        <v>843</v>
      </c>
      <c r="G86" s="52" t="s">
        <v>843</v>
      </c>
      <c r="H86" s="53"/>
      <c r="I86" s="53"/>
      <c r="J86" s="53"/>
      <c r="K86" s="53"/>
      <c r="L86" s="53"/>
      <c r="M86" s="53"/>
    </row>
    <row r="87" spans="1:13" x14ac:dyDescent="0.4">
      <c r="A87" s="2"/>
      <c r="B87" s="394"/>
      <c r="C87" s="3" t="s">
        <v>74</v>
      </c>
      <c r="D87" s="153"/>
      <c r="E87" s="52"/>
      <c r="F87" s="52"/>
      <c r="G87" s="52"/>
      <c r="H87" s="53"/>
      <c r="I87" s="53"/>
      <c r="J87" s="53"/>
      <c r="K87" s="53"/>
      <c r="L87" s="53"/>
      <c r="M87" s="53"/>
    </row>
    <row r="88" spans="1:13" x14ac:dyDescent="0.4">
      <c r="A88" s="2"/>
      <c r="B88" s="394" t="s">
        <v>76</v>
      </c>
      <c r="C88" s="3" t="s">
        <v>628</v>
      </c>
      <c r="D88" s="152">
        <v>13.76</v>
      </c>
      <c r="E88" s="55">
        <f>37046083/249700852*100</f>
        <v>14.836186061551764</v>
      </c>
      <c r="F88" s="78">
        <v>10.25</v>
      </c>
      <c r="G88" s="52">
        <v>10.67</v>
      </c>
      <c r="H88" s="53"/>
      <c r="I88" s="53"/>
      <c r="J88" s="53"/>
      <c r="K88" s="53"/>
      <c r="L88" s="53"/>
      <c r="M88" s="53"/>
    </row>
    <row r="89" spans="1:13" x14ac:dyDescent="0.4">
      <c r="A89" s="2"/>
      <c r="B89" s="394"/>
      <c r="C89" s="3" t="s">
        <v>73</v>
      </c>
      <c r="D89" s="151"/>
      <c r="E89" s="52"/>
      <c r="F89" s="52"/>
      <c r="G89" s="52"/>
      <c r="H89" s="53"/>
      <c r="I89" s="53"/>
      <c r="J89" s="53"/>
      <c r="K89" s="53"/>
      <c r="L89" s="53"/>
      <c r="M89" s="53"/>
    </row>
    <row r="90" spans="1:13" ht="26.5" x14ac:dyDescent="0.3">
      <c r="A90" s="2"/>
      <c r="B90" s="394"/>
      <c r="C90" s="148" t="s">
        <v>629</v>
      </c>
      <c r="D90" s="151">
        <v>-12.72</v>
      </c>
      <c r="E90" s="52">
        <v>-4.63</v>
      </c>
      <c r="F90" s="52" t="s">
        <v>843</v>
      </c>
      <c r="G90" s="52" t="s">
        <v>843</v>
      </c>
      <c r="H90" s="53"/>
      <c r="I90" s="53"/>
      <c r="J90" s="53"/>
      <c r="K90" s="53"/>
      <c r="L90" s="53"/>
      <c r="M90" s="53"/>
    </row>
    <row r="91" spans="1:13" x14ac:dyDescent="0.4">
      <c r="A91" s="2"/>
      <c r="B91" s="394"/>
      <c r="C91" s="3" t="s">
        <v>74</v>
      </c>
      <c r="D91" s="153"/>
      <c r="E91" s="52"/>
      <c r="F91" s="52"/>
      <c r="G91" s="52"/>
      <c r="H91" s="53"/>
      <c r="I91" s="53"/>
      <c r="J91" s="53"/>
      <c r="K91" s="53"/>
      <c r="L91" s="53"/>
      <c r="M91" s="53"/>
    </row>
    <row r="92" spans="1:13" x14ac:dyDescent="0.4">
      <c r="A92" s="2"/>
      <c r="B92" s="394" t="s">
        <v>77</v>
      </c>
      <c r="C92" s="3" t="s">
        <v>628</v>
      </c>
      <c r="D92" s="152">
        <v>12.98</v>
      </c>
      <c r="E92" s="55">
        <f>249700852/10008000</f>
        <v>24.950125099920065</v>
      </c>
      <c r="F92" s="52">
        <v>27.8</v>
      </c>
      <c r="G92" s="52">
        <v>31.12</v>
      </c>
      <c r="H92" s="53"/>
      <c r="I92" s="53"/>
      <c r="J92" s="53"/>
      <c r="K92" s="53"/>
      <c r="L92" s="53"/>
      <c r="M92" s="53"/>
    </row>
    <row r="93" spans="1:13" x14ac:dyDescent="0.4">
      <c r="A93" s="2"/>
      <c r="B93" s="394"/>
      <c r="C93" s="3" t="s">
        <v>73</v>
      </c>
      <c r="D93" s="151"/>
      <c r="E93" s="52"/>
      <c r="F93" s="52"/>
      <c r="G93" s="52"/>
      <c r="H93" s="53"/>
      <c r="I93" s="53"/>
      <c r="J93" s="53"/>
      <c r="K93" s="53"/>
      <c r="L93" s="53"/>
      <c r="M93" s="53"/>
    </row>
    <row r="94" spans="1:13" ht="26.5" x14ac:dyDescent="0.3">
      <c r="A94" s="2"/>
      <c r="B94" s="411"/>
      <c r="C94" s="148" t="s">
        <v>629</v>
      </c>
      <c r="D94" s="151">
        <v>74.97</v>
      </c>
      <c r="E94" s="52">
        <v>10.02</v>
      </c>
      <c r="F94" s="52" t="s">
        <v>843</v>
      </c>
      <c r="G94" s="52" t="s">
        <v>843</v>
      </c>
      <c r="H94" s="53"/>
      <c r="I94" s="53"/>
      <c r="J94" s="53"/>
      <c r="K94" s="53"/>
      <c r="L94" s="53"/>
      <c r="M94" s="53"/>
    </row>
    <row r="95" spans="1:13" x14ac:dyDescent="0.4">
      <c r="A95" s="2"/>
      <c r="B95" s="411"/>
      <c r="C95" s="3" t="s">
        <v>74</v>
      </c>
      <c r="D95" s="153"/>
      <c r="E95" s="52"/>
      <c r="F95" s="163"/>
      <c r="G95" s="163"/>
      <c r="H95" s="53"/>
      <c r="I95" s="53"/>
      <c r="J95" s="53"/>
      <c r="K95" s="53"/>
      <c r="L95" s="53"/>
      <c r="M95" s="53"/>
    </row>
    <row r="96" spans="1:13" s="1" customFormat="1" x14ac:dyDescent="0.4">
      <c r="B96" s="412"/>
      <c r="C96" s="413"/>
      <c r="D96" s="413"/>
      <c r="E96" s="413"/>
      <c r="F96" s="413"/>
      <c r="G96" s="414"/>
    </row>
    <row r="97" spans="1:13" x14ac:dyDescent="0.4">
      <c r="A97" s="2"/>
      <c r="B97" s="415" t="s">
        <v>630</v>
      </c>
      <c r="C97" s="416"/>
      <c r="D97" s="416"/>
      <c r="E97" s="416"/>
      <c r="F97" s="416"/>
      <c r="G97" s="417"/>
      <c r="H97" s="53"/>
      <c r="I97" s="53"/>
      <c r="J97" s="53"/>
      <c r="K97" s="53"/>
      <c r="L97" s="53"/>
      <c r="M97" s="53"/>
    </row>
    <row r="98" spans="1:13" x14ac:dyDescent="0.4">
      <c r="A98" s="2"/>
      <c r="B98" s="418" t="s">
        <v>85</v>
      </c>
      <c r="C98" s="419"/>
      <c r="D98" s="419"/>
      <c r="E98" s="419"/>
      <c r="F98" s="419"/>
      <c r="G98" s="420"/>
      <c r="H98" s="53"/>
      <c r="I98" s="53"/>
      <c r="J98" s="53"/>
      <c r="K98" s="53"/>
      <c r="L98" s="53"/>
      <c r="M98" s="53"/>
    </row>
    <row r="99" spans="1:13" x14ac:dyDescent="0.4">
      <c r="A99" s="2"/>
      <c r="B99" s="363"/>
      <c r="C99" s="368"/>
      <c r="D99" s="368"/>
      <c r="E99" s="368"/>
      <c r="F99" s="368"/>
      <c r="G99" s="369"/>
      <c r="H99" s="53"/>
      <c r="I99" s="53"/>
      <c r="J99" s="53"/>
      <c r="K99" s="53"/>
      <c r="L99" s="53"/>
      <c r="M99" s="53"/>
    </row>
    <row r="100" spans="1:13" x14ac:dyDescent="0.4">
      <c r="C100" s="407"/>
      <c r="D100" s="407"/>
      <c r="E100" s="407"/>
      <c r="F100" s="407"/>
      <c r="G100" s="407"/>
      <c r="H100" s="53"/>
      <c r="I100" s="53"/>
    </row>
    <row r="101" spans="1:13" x14ac:dyDescent="0.4">
      <c r="A101" s="9">
        <v>14</v>
      </c>
      <c r="B101" s="61" t="s">
        <v>78</v>
      </c>
      <c r="C101" s="356" t="s">
        <v>41</v>
      </c>
      <c r="D101" s="357"/>
      <c r="E101" s="357"/>
      <c r="F101" s="357"/>
      <c r="G101" s="408"/>
    </row>
    <row r="102" spans="1:13" x14ac:dyDescent="0.4">
      <c r="A102" s="23"/>
      <c r="C102" s="69"/>
      <c r="D102" s="69"/>
      <c r="E102" s="69"/>
      <c r="F102" s="69"/>
      <c r="G102" s="69"/>
    </row>
    <row r="103" spans="1:13" x14ac:dyDescent="0.4">
      <c r="C103" s="69"/>
      <c r="D103" s="69"/>
      <c r="E103" s="69"/>
      <c r="F103" s="69"/>
      <c r="G103" s="69"/>
    </row>
    <row r="105" spans="1:13" x14ac:dyDescent="0.4">
      <c r="B105" s="409" t="s">
        <v>631</v>
      </c>
      <c r="C105" s="410"/>
      <c r="D105" s="410"/>
      <c r="E105" s="410"/>
      <c r="F105" s="410"/>
      <c r="G105" s="410"/>
      <c r="H105" s="410"/>
    </row>
    <row r="110" spans="1:13" x14ac:dyDescent="0.4">
      <c r="D110" s="107"/>
      <c r="E110" s="107"/>
    </row>
    <row r="111" spans="1:13" x14ac:dyDescent="0.4">
      <c r="E111" s="107"/>
    </row>
  </sheetData>
  <sheetProtection password="DB00" sheet="1" objects="1" scenarios="1"/>
  <mergeCells count="58">
    <mergeCell ref="B12:D12"/>
    <mergeCell ref="A1:B1"/>
    <mergeCell ref="C5:E5"/>
    <mergeCell ref="B6:D6"/>
    <mergeCell ref="B9:D9"/>
    <mergeCell ref="C11:E11"/>
    <mergeCell ref="B35:E35"/>
    <mergeCell ref="B15:C15"/>
    <mergeCell ref="B17:E17"/>
    <mergeCell ref="C18:E18"/>
    <mergeCell ref="C19:E19"/>
    <mergeCell ref="C20:E20"/>
    <mergeCell ref="C21:E21"/>
    <mergeCell ref="C22:E22"/>
    <mergeCell ref="B23:E23"/>
    <mergeCell ref="B26:E26"/>
    <mergeCell ref="B27:E27"/>
    <mergeCell ref="B33:E33"/>
    <mergeCell ref="C56:E56"/>
    <mergeCell ref="B39:C39"/>
    <mergeCell ref="B42:E42"/>
    <mergeCell ref="C43:E43"/>
    <mergeCell ref="C44:E44"/>
    <mergeCell ref="C45:E45"/>
    <mergeCell ref="B46:E46"/>
    <mergeCell ref="B48:E48"/>
    <mergeCell ref="B51:E51"/>
    <mergeCell ref="B53:E53"/>
    <mergeCell ref="B54:B55"/>
    <mergeCell ref="C54:E55"/>
    <mergeCell ref="C57:E57"/>
    <mergeCell ref="B58:E58"/>
    <mergeCell ref="B59:E59"/>
    <mergeCell ref="C61:E61"/>
    <mergeCell ref="B67:B68"/>
    <mergeCell ref="C67:C68"/>
    <mergeCell ref="D67:D68"/>
    <mergeCell ref="E67:E68"/>
    <mergeCell ref="B88:B91"/>
    <mergeCell ref="F67:H67"/>
    <mergeCell ref="I67:J67"/>
    <mergeCell ref="K67:M67"/>
    <mergeCell ref="B71:M71"/>
    <mergeCell ref="B72:M72"/>
    <mergeCell ref="B73:M73"/>
    <mergeCell ref="B74:M74"/>
    <mergeCell ref="B75:M75"/>
    <mergeCell ref="B77:G77"/>
    <mergeCell ref="B80:B83"/>
    <mergeCell ref="B84:B87"/>
    <mergeCell ref="C101:G101"/>
    <mergeCell ref="B105:H105"/>
    <mergeCell ref="B92:B95"/>
    <mergeCell ref="B96:G96"/>
    <mergeCell ref="B97:G97"/>
    <mergeCell ref="B98:G98"/>
    <mergeCell ref="B99:G99"/>
    <mergeCell ref="C100:G10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N111"/>
  <sheetViews>
    <sheetView workbookViewId="0">
      <selection activeCell="C14" sqref="C14"/>
    </sheetView>
  </sheetViews>
  <sheetFormatPr defaultColWidth="8.84375" defaultRowHeight="13.25" x14ac:dyDescent="0.4"/>
  <cols>
    <col min="1" max="1" width="8.84375" style="8"/>
    <col min="2" max="2" width="40.84375" style="8" customWidth="1"/>
    <col min="3" max="3" width="43.4609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x14ac:dyDescent="0.4">
      <c r="A1" s="355" t="s">
        <v>0</v>
      </c>
      <c r="B1" s="355"/>
      <c r="D1" s="1"/>
    </row>
    <row r="3" spans="1:5" x14ac:dyDescent="0.4">
      <c r="A3" s="2" t="s">
        <v>1</v>
      </c>
      <c r="B3" s="3" t="s">
        <v>2</v>
      </c>
      <c r="C3" s="458" t="s">
        <v>632</v>
      </c>
      <c r="D3" s="458"/>
      <c r="E3" s="458"/>
    </row>
    <row r="4" spans="1:5" x14ac:dyDescent="0.4">
      <c r="D4" s="5"/>
    </row>
    <row r="5" spans="1:5" x14ac:dyDescent="0.4">
      <c r="A5" s="6">
        <v>1</v>
      </c>
      <c r="B5" s="7" t="s">
        <v>3</v>
      </c>
      <c r="C5" s="356" t="s">
        <v>90</v>
      </c>
      <c r="D5" s="357"/>
      <c r="E5" s="358"/>
    </row>
    <row r="6" spans="1:5" x14ac:dyDescent="0.4">
      <c r="A6" s="9"/>
      <c r="B6" s="359" t="s">
        <v>5</v>
      </c>
      <c r="C6" s="359"/>
      <c r="D6" s="359"/>
      <c r="E6" s="10"/>
    </row>
    <row r="7" spans="1:5" x14ac:dyDescent="0.4">
      <c r="A7" s="9"/>
      <c r="B7" s="11"/>
      <c r="D7" s="5"/>
    </row>
    <row r="8" spans="1:5" x14ac:dyDescent="0.4">
      <c r="A8" s="9">
        <v>2</v>
      </c>
      <c r="B8" s="7" t="s">
        <v>6</v>
      </c>
      <c r="C8" s="12" t="s">
        <v>633</v>
      </c>
      <c r="D8" s="5"/>
    </row>
    <row r="9" spans="1:5" x14ac:dyDescent="0.4">
      <c r="A9" s="9"/>
      <c r="B9" s="360" t="s">
        <v>5</v>
      </c>
      <c r="C9" s="361"/>
      <c r="D9" s="362"/>
    </row>
    <row r="10" spans="1:5" x14ac:dyDescent="0.4">
      <c r="A10" s="9"/>
      <c r="B10" s="11"/>
      <c r="D10" s="5"/>
    </row>
    <row r="11" spans="1:5" x14ac:dyDescent="0.4">
      <c r="A11" s="9">
        <v>3</v>
      </c>
      <c r="B11" s="7" t="s">
        <v>7</v>
      </c>
      <c r="C11" s="356" t="s">
        <v>8</v>
      </c>
      <c r="D11" s="357"/>
      <c r="E11" s="358"/>
    </row>
    <row r="12" spans="1:5" x14ac:dyDescent="0.4">
      <c r="A12" s="9"/>
      <c r="B12" s="359" t="s">
        <v>5</v>
      </c>
      <c r="C12" s="359"/>
      <c r="D12" s="359"/>
      <c r="E12" s="10"/>
    </row>
    <row r="13" spans="1:5" x14ac:dyDescent="0.4">
      <c r="A13" s="9"/>
      <c r="B13" s="11"/>
      <c r="D13" s="5"/>
    </row>
    <row r="14" spans="1:5" x14ac:dyDescent="0.4">
      <c r="A14" s="9">
        <v>4</v>
      </c>
      <c r="B14" s="3" t="s">
        <v>9</v>
      </c>
      <c r="C14" s="4" t="s">
        <v>634</v>
      </c>
      <c r="D14" s="5"/>
    </row>
    <row r="15" spans="1:5" x14ac:dyDescent="0.4">
      <c r="A15" s="9"/>
      <c r="B15" s="363" t="s">
        <v>10</v>
      </c>
      <c r="C15" s="364"/>
      <c r="D15" s="5"/>
    </row>
    <row r="16" spans="1:5" x14ac:dyDescent="0.4">
      <c r="A16" s="9"/>
      <c r="D16" s="5"/>
    </row>
    <row r="17" spans="1:14" ht="27.05"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635</v>
      </c>
      <c r="C19" s="367" t="s">
        <v>13</v>
      </c>
      <c r="D19" s="367"/>
      <c r="E19" s="367"/>
      <c r="F19" s="15"/>
      <c r="G19" s="13"/>
      <c r="I19" s="13"/>
      <c r="J19" s="13"/>
      <c r="K19" s="13"/>
      <c r="L19" s="13"/>
      <c r="M19" s="13"/>
      <c r="N19" s="13"/>
    </row>
    <row r="20" spans="1:14" x14ac:dyDescent="0.4">
      <c r="A20" s="9"/>
      <c r="B20" s="14" t="s">
        <v>605</v>
      </c>
      <c r="C20" s="367" t="s">
        <v>13</v>
      </c>
      <c r="D20" s="367"/>
      <c r="E20" s="367"/>
      <c r="F20" s="15"/>
      <c r="G20" s="13"/>
      <c r="H20" s="13"/>
      <c r="I20" s="13"/>
      <c r="J20" s="13"/>
      <c r="K20" s="13"/>
      <c r="L20" s="13"/>
      <c r="M20" s="13"/>
      <c r="N20" s="13"/>
    </row>
    <row r="21" spans="1:14" x14ac:dyDescent="0.4">
      <c r="A21" s="9"/>
      <c r="B21" s="14" t="s">
        <v>15</v>
      </c>
      <c r="C21" s="367" t="s">
        <v>13</v>
      </c>
      <c r="D21" s="367"/>
      <c r="E21" s="367"/>
      <c r="F21" s="15"/>
      <c r="G21" s="13"/>
      <c r="H21" s="13"/>
      <c r="I21" s="13"/>
      <c r="J21" s="13"/>
      <c r="K21" s="13"/>
      <c r="L21" s="13"/>
      <c r="M21" s="13"/>
      <c r="N21" s="13"/>
    </row>
    <row r="22" spans="1:14" x14ac:dyDescent="0.4">
      <c r="A22" s="9"/>
      <c r="B22" s="16" t="s">
        <v>16</v>
      </c>
      <c r="C22" s="367" t="s">
        <v>13</v>
      </c>
      <c r="D22" s="367"/>
      <c r="E22" s="367"/>
      <c r="F22" s="15"/>
      <c r="G22" s="13"/>
      <c r="H22" s="13"/>
      <c r="I22" s="13"/>
      <c r="J22" s="13"/>
      <c r="K22" s="13"/>
      <c r="L22" s="13"/>
      <c r="M22" s="13"/>
      <c r="N22" s="13"/>
    </row>
    <row r="23" spans="1:14" x14ac:dyDescent="0.4">
      <c r="A23" s="9"/>
      <c r="B23" s="363"/>
      <c r="C23" s="368"/>
      <c r="D23" s="368"/>
      <c r="E23" s="369"/>
      <c r="F23" s="15"/>
      <c r="G23" s="13" t="s">
        <v>693</v>
      </c>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30.0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263</v>
      </c>
      <c r="E28" s="18" t="s">
        <v>23</v>
      </c>
      <c r="F28" s="15"/>
    </row>
    <row r="29" spans="1:14" ht="12.7" customHeight="1" x14ac:dyDescent="0.4">
      <c r="A29" s="9"/>
      <c r="B29" s="19" t="s">
        <v>24</v>
      </c>
      <c r="C29" s="113">
        <v>7058.67</v>
      </c>
      <c r="D29" s="20">
        <v>6628.54</v>
      </c>
      <c r="E29" s="155">
        <v>8277.56</v>
      </c>
      <c r="F29" s="15"/>
    </row>
    <row r="30" spans="1:14" x14ac:dyDescent="0.4">
      <c r="A30" s="9"/>
      <c r="B30" s="19" t="s">
        <v>25</v>
      </c>
      <c r="C30" s="20">
        <v>270.3</v>
      </c>
      <c r="D30" s="20">
        <v>235.86</v>
      </c>
      <c r="E30" s="161">
        <v>290.66000000000003</v>
      </c>
      <c r="F30" s="15"/>
    </row>
    <row r="31" spans="1:14" x14ac:dyDescent="0.4">
      <c r="A31" s="9"/>
      <c r="B31" s="19" t="s">
        <v>26</v>
      </c>
      <c r="C31" s="113">
        <v>1111.8</v>
      </c>
      <c r="D31" s="113">
        <v>1111.8</v>
      </c>
      <c r="E31" s="113">
        <v>1111.8</v>
      </c>
      <c r="F31" s="15"/>
    </row>
    <row r="32" spans="1:14" x14ac:dyDescent="0.4">
      <c r="A32" s="9"/>
      <c r="B32" s="19" t="s">
        <v>27</v>
      </c>
      <c r="C32" s="113">
        <v>2614.5500000000002</v>
      </c>
      <c r="D32" s="20">
        <v>2850.41</v>
      </c>
      <c r="E32" s="162">
        <v>3141.07</v>
      </c>
      <c r="F32" s="15"/>
    </row>
    <row r="33" spans="1:10" x14ac:dyDescent="0.4">
      <c r="A33" s="9"/>
      <c r="B33" s="363"/>
      <c r="C33" s="368"/>
      <c r="D33" s="368"/>
      <c r="E33" s="369"/>
      <c r="F33" s="15"/>
    </row>
    <row r="34" spans="1:10" x14ac:dyDescent="0.4">
      <c r="A34" s="9"/>
      <c r="B34" s="13"/>
      <c r="C34" s="15"/>
      <c r="D34" s="15"/>
      <c r="E34" s="15"/>
      <c r="F34" s="15"/>
    </row>
    <row r="35" spans="1:10" ht="27.75"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t="s">
        <v>693</v>
      </c>
      <c r="E37" s="13"/>
      <c r="F37" s="13"/>
    </row>
    <row r="38" spans="1:10" x14ac:dyDescent="0.4">
      <c r="A38" s="9"/>
      <c r="B38" s="22" t="s">
        <v>32</v>
      </c>
      <c r="C38" s="20" t="s">
        <v>808</v>
      </c>
      <c r="D38" s="13"/>
      <c r="E38" s="13"/>
      <c r="F38" s="13"/>
    </row>
    <row r="39" spans="1:10" x14ac:dyDescent="0.4">
      <c r="A39" s="9"/>
      <c r="B39" s="359"/>
      <c r="C39" s="359"/>
      <c r="D39" s="13"/>
      <c r="E39" s="13"/>
      <c r="F39" s="13"/>
    </row>
    <row r="40" spans="1:10" x14ac:dyDescent="0.4">
      <c r="A40" s="9"/>
      <c r="C40" s="13"/>
      <c r="D40" s="13"/>
      <c r="E40" s="13"/>
      <c r="F40" s="13"/>
    </row>
    <row r="41" spans="1:10" x14ac:dyDescent="0.4">
      <c r="A41" s="9"/>
      <c r="B41" s="15"/>
      <c r="C41" s="13"/>
      <c r="D41" s="13"/>
      <c r="E41" s="13"/>
      <c r="F41" s="13"/>
    </row>
    <row r="42" spans="1:10" ht="30.7" customHeight="1" x14ac:dyDescent="0.4">
      <c r="A42" s="9">
        <v>8</v>
      </c>
      <c r="B42" s="365" t="s">
        <v>33</v>
      </c>
      <c r="C42" s="365"/>
      <c r="D42" s="365"/>
      <c r="E42" s="365"/>
      <c r="F42" s="11"/>
      <c r="G42" s="11"/>
      <c r="H42" s="11"/>
      <c r="I42" s="11"/>
      <c r="J42" s="11"/>
    </row>
    <row r="43" spans="1:10" x14ac:dyDescent="0.4">
      <c r="A43" s="9"/>
      <c r="B43" s="17" t="s">
        <v>34</v>
      </c>
      <c r="C43" s="373" t="s">
        <v>730</v>
      </c>
      <c r="D43" s="374"/>
      <c r="E43" s="375"/>
      <c r="F43" s="13"/>
      <c r="G43" s="8" t="s">
        <v>693</v>
      </c>
    </row>
    <row r="44" spans="1:10" x14ac:dyDescent="0.4">
      <c r="A44" s="9"/>
      <c r="B44" s="17" t="s">
        <v>31</v>
      </c>
      <c r="C44" s="373" t="s">
        <v>730</v>
      </c>
      <c r="D44" s="374"/>
      <c r="E44" s="375"/>
      <c r="F44" s="13" t="s">
        <v>693</v>
      </c>
    </row>
    <row r="45" spans="1:10" x14ac:dyDescent="0.4">
      <c r="A45" s="9"/>
      <c r="B45" s="17" t="s">
        <v>32</v>
      </c>
      <c r="C45" s="373" t="s">
        <v>730</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92.8" x14ac:dyDescent="0.4">
      <c r="A50" s="29"/>
      <c r="B50" s="78" t="s">
        <v>636</v>
      </c>
      <c r="C50" s="78" t="s">
        <v>637</v>
      </c>
      <c r="D50" s="109" t="s">
        <v>84</v>
      </c>
      <c r="E50" s="110" t="s">
        <v>84</v>
      </c>
    </row>
    <row r="51" spans="1:14" x14ac:dyDescent="0.4">
      <c r="A51" s="31"/>
      <c r="B51" s="380" t="s">
        <v>638</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637</v>
      </c>
      <c r="D54" s="386"/>
      <c r="E54" s="387"/>
      <c r="K54" s="1"/>
    </row>
    <row r="55" spans="1:14" ht="48.05" customHeight="1"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186</v>
      </c>
      <c r="D57" s="391"/>
      <c r="E57" s="391"/>
      <c r="K57" s="34"/>
    </row>
    <row r="58" spans="1:14" x14ac:dyDescent="0.4">
      <c r="A58" s="29"/>
      <c r="B58" s="380" t="s">
        <v>639</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43"/>
      <c r="F63" s="43"/>
      <c r="G63" s="11"/>
      <c r="H63" s="11"/>
      <c r="I63" s="11"/>
      <c r="J63" s="11"/>
      <c r="K63" s="11"/>
      <c r="L63" s="11"/>
      <c r="M63" s="11"/>
      <c r="N63" s="11"/>
    </row>
    <row r="64" spans="1:14" x14ac:dyDescent="0.4">
      <c r="A64" s="9"/>
      <c r="B64" s="11"/>
      <c r="C64" s="11"/>
      <c r="D64" s="11"/>
      <c r="E64" s="43"/>
      <c r="F64" s="43"/>
      <c r="G64" s="43"/>
      <c r="H64" s="11"/>
      <c r="I64" s="11"/>
      <c r="J64" s="11"/>
      <c r="K64" s="11"/>
      <c r="L64" s="11"/>
      <c r="M64" s="11"/>
      <c r="N64" s="11"/>
    </row>
    <row r="65" spans="1:14" x14ac:dyDescent="0.4">
      <c r="A65" s="9"/>
      <c r="B65" s="17" t="s">
        <v>52</v>
      </c>
      <c r="C65" s="19" t="s">
        <v>640</v>
      </c>
      <c r="D65" s="15"/>
      <c r="E65" s="15"/>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x14ac:dyDescent="0.4">
      <c r="A67" s="9"/>
      <c r="B67" s="365" t="s">
        <v>53</v>
      </c>
      <c r="C67" s="366" t="s">
        <v>641</v>
      </c>
      <c r="D67" s="366" t="s">
        <v>271</v>
      </c>
      <c r="E67" s="403" t="s">
        <v>232</v>
      </c>
      <c r="F67" s="395" t="s">
        <v>626</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x14ac:dyDescent="0.4">
      <c r="A69" s="2"/>
      <c r="B69" s="17" t="s">
        <v>103</v>
      </c>
      <c r="C69" s="108">
        <v>64.900000000000006</v>
      </c>
      <c r="D69" s="46">
        <v>63.5</v>
      </c>
      <c r="E69" s="46">
        <v>67.599999999999994</v>
      </c>
      <c r="F69" s="46">
        <v>68.45</v>
      </c>
      <c r="G69" s="46">
        <v>74.150000000000006</v>
      </c>
      <c r="H69" s="46">
        <v>63.4</v>
      </c>
      <c r="I69" s="45">
        <v>53</v>
      </c>
      <c r="J69" s="45">
        <v>72.900000000000006</v>
      </c>
      <c r="K69" s="45">
        <v>40.85</v>
      </c>
      <c r="L69" s="45">
        <v>51.25</v>
      </c>
      <c r="M69" s="45">
        <v>51.25</v>
      </c>
      <c r="N69" s="45">
        <v>51.25</v>
      </c>
    </row>
    <row r="70" spans="1:14" ht="25.65" x14ac:dyDescent="0.4">
      <c r="A70" s="2"/>
      <c r="B70" s="17" t="s">
        <v>627</v>
      </c>
      <c r="C70" s="108">
        <v>10301.049999999999</v>
      </c>
      <c r="D70" s="46">
        <v>10585.2</v>
      </c>
      <c r="E70" s="46">
        <v>10771.8</v>
      </c>
      <c r="F70" s="45">
        <v>11623.9</v>
      </c>
      <c r="G70" s="45">
        <v>11760.2</v>
      </c>
      <c r="H70" s="45">
        <v>10004.549999999999</v>
      </c>
      <c r="I70" s="45">
        <v>8597.75</v>
      </c>
      <c r="J70" s="45">
        <v>12430.5</v>
      </c>
      <c r="K70" s="45">
        <v>7511.1</v>
      </c>
      <c r="L70" s="45">
        <v>14690.7</v>
      </c>
      <c r="M70" s="45">
        <v>15431.75</v>
      </c>
      <c r="N70" s="45">
        <v>8055.8</v>
      </c>
    </row>
    <row r="71" spans="1:14" x14ac:dyDescent="0.4">
      <c r="A71" s="2"/>
      <c r="B71" s="401" t="s">
        <v>94</v>
      </c>
      <c r="C71" s="401"/>
      <c r="D71" s="401"/>
      <c r="E71" s="401"/>
      <c r="F71" s="401"/>
      <c r="G71" s="401"/>
      <c r="H71" s="401"/>
      <c r="I71" s="401"/>
      <c r="J71" s="401"/>
      <c r="K71" s="401"/>
      <c r="L71" s="401"/>
      <c r="M71" s="401"/>
      <c r="N71" s="401"/>
    </row>
    <row r="72" spans="1:14" x14ac:dyDescent="0.4">
      <c r="A72" s="2"/>
      <c r="B72" s="359" t="s">
        <v>63</v>
      </c>
      <c r="C72" s="359"/>
      <c r="D72" s="359"/>
      <c r="E72" s="359"/>
      <c r="F72" s="359"/>
      <c r="G72" s="359"/>
      <c r="H72" s="359"/>
      <c r="I72" s="359"/>
      <c r="J72" s="359"/>
      <c r="K72" s="359"/>
      <c r="L72" s="359"/>
      <c r="M72" s="359"/>
      <c r="N72" s="359"/>
    </row>
    <row r="73" spans="1:14" s="1" customFormat="1" x14ac:dyDescent="0.4">
      <c r="B73" s="359" t="s">
        <v>64</v>
      </c>
      <c r="C73" s="359"/>
      <c r="D73" s="359"/>
      <c r="E73" s="359"/>
      <c r="F73" s="359"/>
      <c r="G73" s="359"/>
      <c r="H73" s="359"/>
      <c r="I73" s="359"/>
      <c r="J73" s="359"/>
      <c r="K73" s="359"/>
      <c r="L73" s="359"/>
      <c r="M73" s="359"/>
      <c r="N73" s="359"/>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t="s">
        <v>693</v>
      </c>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102.5" x14ac:dyDescent="0.4">
      <c r="A79" s="2"/>
      <c r="B79" s="50" t="s">
        <v>67</v>
      </c>
      <c r="C79" s="18" t="s">
        <v>68</v>
      </c>
      <c r="D79" s="18" t="s">
        <v>69</v>
      </c>
      <c r="E79" s="18" t="s">
        <v>218</v>
      </c>
      <c r="F79" s="18" t="s">
        <v>71</v>
      </c>
      <c r="G79" s="18" t="s">
        <v>107</v>
      </c>
      <c r="H79" s="13"/>
      <c r="I79" s="13"/>
      <c r="J79" s="13"/>
      <c r="K79" s="13"/>
      <c r="L79" s="13"/>
      <c r="M79" s="13"/>
      <c r="N79" s="13"/>
    </row>
    <row r="80" spans="1:14" ht="12.7" customHeight="1" x14ac:dyDescent="0.35">
      <c r="A80" s="2"/>
      <c r="B80" s="394" t="s">
        <v>72</v>
      </c>
      <c r="C80" s="3" t="s">
        <v>642</v>
      </c>
      <c r="D80" s="65">
        <v>6.33</v>
      </c>
      <c r="E80" s="20">
        <v>2.83</v>
      </c>
      <c r="F80" s="52">
        <v>2.12</v>
      </c>
      <c r="G80" s="52">
        <v>2.61</v>
      </c>
      <c r="H80" s="53"/>
      <c r="I80" s="53"/>
      <c r="J80" s="53"/>
      <c r="K80" s="53"/>
      <c r="L80" s="53"/>
      <c r="M80" s="53"/>
      <c r="N80" s="53"/>
    </row>
    <row r="81" spans="1:14" x14ac:dyDescent="0.4">
      <c r="A81" s="2"/>
      <c r="B81" s="394"/>
      <c r="C81" s="3" t="s">
        <v>73</v>
      </c>
      <c r="D81" s="54"/>
      <c r="E81" s="20"/>
      <c r="F81" s="52"/>
      <c r="G81" s="52"/>
      <c r="H81" s="53"/>
      <c r="I81" s="53"/>
      <c r="J81" s="53"/>
      <c r="K81" s="53"/>
      <c r="L81" s="53"/>
      <c r="M81" s="53"/>
      <c r="N81" s="53"/>
    </row>
    <row r="82" spans="1:14" x14ac:dyDescent="0.3">
      <c r="A82" s="2"/>
      <c r="B82" s="394"/>
      <c r="C82" s="148" t="s">
        <v>643</v>
      </c>
      <c r="D82" s="54">
        <v>82.74</v>
      </c>
      <c r="E82" s="20">
        <v>74.540000000000006</v>
      </c>
      <c r="F82" s="52">
        <v>95.21</v>
      </c>
      <c r="G82" s="52">
        <v>75.680000000000007</v>
      </c>
      <c r="H82" s="53"/>
      <c r="I82" s="53"/>
      <c r="J82" s="53"/>
      <c r="K82" s="53"/>
      <c r="L82" s="53"/>
      <c r="M82" s="53"/>
      <c r="N82" s="53"/>
    </row>
    <row r="83" spans="1:14" x14ac:dyDescent="0.4">
      <c r="A83" s="2"/>
      <c r="B83" s="394"/>
      <c r="C83" s="3" t="s">
        <v>74</v>
      </c>
      <c r="D83" s="76"/>
      <c r="E83" s="20"/>
      <c r="F83" s="52"/>
      <c r="G83" s="52"/>
      <c r="H83" s="53"/>
      <c r="I83" s="53"/>
      <c r="J83" s="53"/>
      <c r="K83" s="53"/>
      <c r="L83" s="53"/>
      <c r="M83" s="53"/>
      <c r="N83" s="53"/>
    </row>
    <row r="84" spans="1:14" x14ac:dyDescent="0.35">
      <c r="A84" s="2"/>
      <c r="B84" s="394" t="s">
        <v>75</v>
      </c>
      <c r="C84" s="3" t="s">
        <v>642</v>
      </c>
      <c r="D84" s="77">
        <v>9.9499999999999993</v>
      </c>
      <c r="E84" s="101">
        <f>F69/E80</f>
        <v>24.187279151943464</v>
      </c>
      <c r="F84" s="101">
        <f>I69/F80</f>
        <v>25</v>
      </c>
      <c r="G84" s="101">
        <f>L69/G80</f>
        <v>19.636015325670499</v>
      </c>
      <c r="H84" s="53"/>
      <c r="I84" s="53"/>
      <c r="J84" s="53"/>
      <c r="K84" s="53"/>
      <c r="L84" s="53"/>
      <c r="M84" s="53"/>
      <c r="N84" s="53"/>
    </row>
    <row r="85" spans="1:14" x14ac:dyDescent="0.4">
      <c r="A85" s="2"/>
      <c r="B85" s="394"/>
      <c r="C85" s="3" t="s">
        <v>73</v>
      </c>
      <c r="D85" s="54"/>
      <c r="E85" s="20"/>
      <c r="F85" s="52"/>
      <c r="G85" s="52"/>
      <c r="H85" s="53"/>
      <c r="I85" s="53"/>
      <c r="J85" s="53"/>
      <c r="K85" s="53"/>
      <c r="L85" s="53"/>
      <c r="M85" s="53"/>
      <c r="N85" s="53"/>
    </row>
    <row r="86" spans="1:14" x14ac:dyDescent="0.3">
      <c r="A86" s="2"/>
      <c r="B86" s="394"/>
      <c r="C86" s="148" t="s">
        <v>643</v>
      </c>
      <c r="D86" s="76">
        <v>21.66</v>
      </c>
      <c r="E86" s="101">
        <f>1432/E82</f>
        <v>19.211161792326266</v>
      </c>
      <c r="F86" s="55">
        <f>997.7/F82</f>
        <v>10.478941287679866</v>
      </c>
      <c r="G86" s="55">
        <f>1950.75/G82</f>
        <v>25.776294926004226</v>
      </c>
      <c r="H86" s="53"/>
      <c r="I86" s="53"/>
      <c r="J86" s="53"/>
      <c r="K86" s="53"/>
      <c r="L86" s="53"/>
      <c r="M86" s="53"/>
      <c r="N86" s="53"/>
    </row>
    <row r="87" spans="1:14" x14ac:dyDescent="0.4">
      <c r="A87" s="2"/>
      <c r="B87" s="394"/>
      <c r="C87" s="3" t="s">
        <v>74</v>
      </c>
      <c r="D87" s="76"/>
      <c r="E87" s="20"/>
      <c r="F87" s="52"/>
      <c r="G87" s="52"/>
      <c r="H87" s="53"/>
      <c r="I87" s="53"/>
      <c r="J87" s="53"/>
      <c r="K87" s="53"/>
      <c r="L87" s="53"/>
      <c r="M87" s="53"/>
      <c r="N87" s="53"/>
    </row>
    <row r="88" spans="1:14" x14ac:dyDescent="0.35">
      <c r="A88" s="2"/>
      <c r="B88" s="394" t="s">
        <v>76</v>
      </c>
      <c r="C88" s="3" t="s">
        <v>642</v>
      </c>
      <c r="D88" s="65">
        <v>25.02</v>
      </c>
      <c r="E88" s="101">
        <f>27029160/372634907*100</f>
        <v>7.2535233528189025</v>
      </c>
      <c r="F88" s="52">
        <v>5.95</v>
      </c>
      <c r="G88" s="52">
        <v>6.83</v>
      </c>
      <c r="H88" s="53"/>
      <c r="I88" s="53"/>
      <c r="J88" s="53"/>
      <c r="K88" s="53"/>
      <c r="L88" s="53"/>
      <c r="M88" s="53"/>
      <c r="N88" s="53"/>
    </row>
    <row r="89" spans="1:14" x14ac:dyDescent="0.4">
      <c r="A89" s="2"/>
      <c r="B89" s="394"/>
      <c r="C89" s="3" t="s">
        <v>73</v>
      </c>
      <c r="D89" s="54"/>
      <c r="E89" s="20"/>
      <c r="F89" s="52"/>
      <c r="G89" s="52"/>
      <c r="H89" s="53"/>
      <c r="I89" s="53"/>
      <c r="J89" s="53"/>
      <c r="K89" s="53"/>
      <c r="L89" s="53"/>
      <c r="M89" s="53"/>
      <c r="N89" s="53"/>
    </row>
    <row r="90" spans="1:14" x14ac:dyDescent="0.3">
      <c r="A90" s="2"/>
      <c r="B90" s="394"/>
      <c r="C90" s="148" t="s">
        <v>643</v>
      </c>
      <c r="D90" s="54">
        <v>14.73</v>
      </c>
      <c r="E90" s="101">
        <f>11063.51/88438.48*100</f>
        <v>12.509837346820074</v>
      </c>
      <c r="F90" s="52">
        <v>13.8</v>
      </c>
      <c r="G90" s="52">
        <v>10.27</v>
      </c>
      <c r="H90" s="53"/>
      <c r="I90" s="53"/>
      <c r="J90" s="53"/>
      <c r="K90" s="53"/>
      <c r="L90" s="53"/>
      <c r="M90" s="53"/>
      <c r="N90" s="53"/>
    </row>
    <row r="91" spans="1:14" x14ac:dyDescent="0.4">
      <c r="A91" s="2"/>
      <c r="B91" s="394"/>
      <c r="C91" s="3" t="s">
        <v>74</v>
      </c>
      <c r="D91" s="76"/>
      <c r="E91" s="20"/>
      <c r="F91" s="52"/>
      <c r="G91" s="52"/>
      <c r="H91" s="53"/>
      <c r="I91" s="53"/>
      <c r="J91" s="53"/>
      <c r="K91" s="57"/>
      <c r="L91" s="53"/>
      <c r="M91" s="53"/>
      <c r="N91" s="53"/>
    </row>
    <row r="92" spans="1:14" x14ac:dyDescent="0.35">
      <c r="A92" s="2"/>
      <c r="B92" s="394" t="s">
        <v>77</v>
      </c>
      <c r="C92" s="3" t="s">
        <v>642</v>
      </c>
      <c r="D92" s="65">
        <v>20.52</v>
      </c>
      <c r="E92" s="101">
        <f>372634907/11118000</f>
        <v>33.516361485878754</v>
      </c>
      <c r="F92" s="52">
        <v>35.64</v>
      </c>
      <c r="G92" s="52">
        <v>38.25</v>
      </c>
      <c r="H92" s="53"/>
      <c r="I92" s="53"/>
      <c r="J92" s="53"/>
      <c r="K92" s="53"/>
      <c r="L92" s="53"/>
      <c r="M92" s="53"/>
      <c r="N92" s="53"/>
    </row>
    <row r="93" spans="1:14" x14ac:dyDescent="0.4">
      <c r="A93" s="2"/>
      <c r="B93" s="394"/>
      <c r="C93" s="3" t="s">
        <v>73</v>
      </c>
      <c r="D93" s="54"/>
      <c r="E93" s="20"/>
      <c r="F93" s="52"/>
      <c r="G93" s="52"/>
      <c r="H93" s="53"/>
      <c r="I93" s="53"/>
      <c r="J93" s="53"/>
      <c r="K93" s="53"/>
      <c r="L93" s="53"/>
      <c r="M93" s="53"/>
      <c r="N93" s="53"/>
    </row>
    <row r="94" spans="1:14" x14ac:dyDescent="0.3">
      <c r="A94" s="2"/>
      <c r="B94" s="411"/>
      <c r="C94" s="148" t="s">
        <v>643</v>
      </c>
      <c r="D94" s="54">
        <v>568.66</v>
      </c>
      <c r="E94" s="20">
        <v>630.71</v>
      </c>
      <c r="F94" s="52">
        <v>691.63</v>
      </c>
      <c r="G94" s="52">
        <v>763.53</v>
      </c>
      <c r="H94" s="53"/>
      <c r="I94" s="53"/>
      <c r="J94" s="53"/>
      <c r="K94" s="53"/>
      <c r="L94" s="53"/>
      <c r="M94" s="53"/>
      <c r="N94" s="53"/>
    </row>
    <row r="95" spans="1:14" x14ac:dyDescent="0.4">
      <c r="A95" s="2"/>
      <c r="B95" s="411"/>
      <c r="C95" s="3" t="s">
        <v>74</v>
      </c>
      <c r="D95" s="76"/>
      <c r="E95" s="20"/>
      <c r="F95" s="163"/>
      <c r="G95" s="165"/>
      <c r="H95" s="53"/>
      <c r="I95" s="53"/>
      <c r="J95" s="53"/>
      <c r="K95" s="53"/>
      <c r="L95" s="53"/>
      <c r="M95" s="53"/>
      <c r="N95" s="53"/>
    </row>
    <row r="96" spans="1:14" s="1" customFormat="1" x14ac:dyDescent="0.4">
      <c r="B96" s="412"/>
      <c r="C96" s="413"/>
      <c r="D96" s="413"/>
      <c r="E96" s="413"/>
      <c r="F96" s="413"/>
      <c r="G96" s="414"/>
    </row>
    <row r="97" spans="1:14" x14ac:dyDescent="0.4">
      <c r="A97" s="2"/>
      <c r="B97" s="415" t="s">
        <v>644</v>
      </c>
      <c r="C97" s="416"/>
      <c r="D97" s="416"/>
      <c r="E97" s="416"/>
      <c r="F97" s="416"/>
      <c r="G97" s="417"/>
      <c r="H97" s="53"/>
      <c r="I97" s="53"/>
      <c r="J97" s="53"/>
      <c r="K97" s="53"/>
      <c r="L97" s="53"/>
      <c r="M97" s="53"/>
      <c r="N97" s="53"/>
    </row>
    <row r="98" spans="1:14" x14ac:dyDescent="0.4">
      <c r="A98" s="2"/>
      <c r="B98" s="418" t="s">
        <v>85</v>
      </c>
      <c r="C98" s="419"/>
      <c r="D98" s="419"/>
      <c r="E98" s="419"/>
      <c r="F98" s="419"/>
      <c r="G98" s="420"/>
      <c r="H98" s="53"/>
      <c r="I98" s="53"/>
      <c r="J98" s="53"/>
      <c r="K98" s="53"/>
      <c r="L98" s="53"/>
      <c r="M98" s="53"/>
      <c r="N98" s="53"/>
    </row>
    <row r="99" spans="1:14" x14ac:dyDescent="0.4">
      <c r="A99" s="2"/>
      <c r="B99" s="363"/>
      <c r="C99" s="368"/>
      <c r="D99" s="368"/>
      <c r="E99" s="368"/>
      <c r="F99" s="368"/>
      <c r="G99" s="369"/>
      <c r="H99" s="53"/>
      <c r="I99" s="53"/>
      <c r="J99" s="53"/>
      <c r="K99" s="53"/>
      <c r="L99" s="53"/>
      <c r="M99" s="53"/>
      <c r="N99" s="53"/>
    </row>
    <row r="100" spans="1:14" x14ac:dyDescent="0.4">
      <c r="C100" s="407"/>
      <c r="D100" s="407"/>
      <c r="E100" s="407"/>
      <c r="F100" s="407"/>
      <c r="G100" s="407"/>
      <c r="H100" s="53"/>
      <c r="I100" s="53"/>
    </row>
    <row r="101" spans="1:14" x14ac:dyDescent="0.4">
      <c r="A101" s="9">
        <v>14</v>
      </c>
      <c r="B101" s="61" t="s">
        <v>78</v>
      </c>
      <c r="C101" s="356" t="s">
        <v>41</v>
      </c>
      <c r="D101" s="357"/>
      <c r="E101" s="357"/>
      <c r="F101" s="357"/>
      <c r="G101" s="408"/>
    </row>
    <row r="102" spans="1:14" x14ac:dyDescent="0.4">
      <c r="A102" s="23"/>
      <c r="C102" s="69"/>
      <c r="D102" s="69"/>
      <c r="E102" s="69"/>
      <c r="F102" s="69"/>
      <c r="G102" s="69"/>
    </row>
    <row r="103" spans="1:14" x14ac:dyDescent="0.4">
      <c r="C103" s="69"/>
      <c r="D103" s="69"/>
      <c r="E103" s="69"/>
      <c r="F103" s="69"/>
      <c r="G103" s="69"/>
    </row>
    <row r="105" spans="1:14" x14ac:dyDescent="0.4">
      <c r="B105" s="409" t="s">
        <v>645</v>
      </c>
      <c r="C105" s="410"/>
      <c r="D105" s="410"/>
      <c r="E105" s="410"/>
      <c r="F105" s="410"/>
      <c r="G105" s="410"/>
      <c r="H105" s="410"/>
    </row>
    <row r="110" spans="1:14" x14ac:dyDescent="0.4">
      <c r="D110" s="107"/>
      <c r="E110" s="107"/>
    </row>
    <row r="111" spans="1:14" x14ac:dyDescent="0.4">
      <c r="E111" s="107"/>
    </row>
  </sheetData>
  <mergeCells count="59">
    <mergeCell ref="C101:G101"/>
    <mergeCell ref="B105:H105"/>
    <mergeCell ref="B92:B95"/>
    <mergeCell ref="B96:G96"/>
    <mergeCell ref="B97:G97"/>
    <mergeCell ref="B98:G98"/>
    <mergeCell ref="B99:G99"/>
    <mergeCell ref="C100:G100"/>
    <mergeCell ref="B88:B91"/>
    <mergeCell ref="F67:H67"/>
    <mergeCell ref="I67:K67"/>
    <mergeCell ref="L67:N67"/>
    <mergeCell ref="B71:N71"/>
    <mergeCell ref="B72:N72"/>
    <mergeCell ref="B73:N73"/>
    <mergeCell ref="B67:B68"/>
    <mergeCell ref="C67:C68"/>
    <mergeCell ref="D67:D68"/>
    <mergeCell ref="E67:E68"/>
    <mergeCell ref="B74:N74"/>
    <mergeCell ref="B75:N75"/>
    <mergeCell ref="B77:G77"/>
    <mergeCell ref="B80:B83"/>
    <mergeCell ref="B84:B87"/>
    <mergeCell ref="C56:E56"/>
    <mergeCell ref="C57:E57"/>
    <mergeCell ref="B58:E58"/>
    <mergeCell ref="B59:E59"/>
    <mergeCell ref="C61:E61"/>
    <mergeCell ref="B46:E46"/>
    <mergeCell ref="B48:E48"/>
    <mergeCell ref="B51:E51"/>
    <mergeCell ref="B53:E53"/>
    <mergeCell ref="B54:B55"/>
    <mergeCell ref="C54:E55"/>
    <mergeCell ref="C45:E45"/>
    <mergeCell ref="C21:E21"/>
    <mergeCell ref="C22:E22"/>
    <mergeCell ref="B23:E23"/>
    <mergeCell ref="B26:E26"/>
    <mergeCell ref="B27:E27"/>
    <mergeCell ref="B33:E33"/>
    <mergeCell ref="B35:E35"/>
    <mergeCell ref="B39:C39"/>
    <mergeCell ref="B42:E42"/>
    <mergeCell ref="C43:E43"/>
    <mergeCell ref="C44:E44"/>
    <mergeCell ref="C20:E20"/>
    <mergeCell ref="A1:B1"/>
    <mergeCell ref="C3:E3"/>
    <mergeCell ref="C5:E5"/>
    <mergeCell ref="B6:D6"/>
    <mergeCell ref="B9:D9"/>
    <mergeCell ref="C11:E11"/>
    <mergeCell ref="B12:D12"/>
    <mergeCell ref="B15:C15"/>
    <mergeCell ref="B17:E17"/>
    <mergeCell ref="C18:E18"/>
    <mergeCell ref="C19:E1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115"/>
  <sheetViews>
    <sheetView topLeftCell="A85" workbookViewId="0">
      <selection activeCell="D92" sqref="D92"/>
    </sheetView>
  </sheetViews>
  <sheetFormatPr defaultColWidth="8.84375" defaultRowHeight="13.25" x14ac:dyDescent="0.4"/>
  <cols>
    <col min="1" max="1" width="8.84375" style="8"/>
    <col min="2" max="2" width="40.84375" style="8" customWidth="1"/>
    <col min="3" max="3" width="43.4609375" style="8" customWidth="1"/>
    <col min="4" max="4" width="15.84375" style="8" customWidth="1"/>
    <col min="5" max="5" width="22.3046875" style="8" customWidth="1"/>
    <col min="6" max="6" width="14.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 t="s">
        <v>646</v>
      </c>
    </row>
    <row r="4" spans="1:5" x14ac:dyDescent="0.4">
      <c r="D4" s="5"/>
    </row>
    <row r="5" spans="1:5" x14ac:dyDescent="0.4">
      <c r="A5" s="6">
        <v>1</v>
      </c>
      <c r="B5" s="7" t="s">
        <v>3</v>
      </c>
      <c r="C5" s="356" t="s">
        <v>90</v>
      </c>
      <c r="D5" s="357"/>
      <c r="E5" s="358"/>
    </row>
    <row r="6" spans="1:5" x14ac:dyDescent="0.4">
      <c r="A6" s="9"/>
      <c r="B6" s="359" t="s">
        <v>5</v>
      </c>
      <c r="C6" s="359"/>
      <c r="D6" s="359"/>
      <c r="E6" s="10"/>
    </row>
    <row r="7" spans="1:5" x14ac:dyDescent="0.4">
      <c r="A7" s="9"/>
      <c r="B7" s="11"/>
      <c r="D7" s="5"/>
    </row>
    <row r="8" spans="1:5" x14ac:dyDescent="0.4">
      <c r="A8" s="9">
        <v>2</v>
      </c>
      <c r="B8" s="7" t="s">
        <v>6</v>
      </c>
      <c r="C8" s="12" t="s">
        <v>647</v>
      </c>
      <c r="D8" s="5"/>
    </row>
    <row r="9" spans="1:5" x14ac:dyDescent="0.4">
      <c r="A9" s="9"/>
      <c r="B9" s="360" t="s">
        <v>5</v>
      </c>
      <c r="C9" s="361"/>
      <c r="D9" s="362"/>
    </row>
    <row r="10" spans="1:5" x14ac:dyDescent="0.4">
      <c r="A10" s="9"/>
      <c r="B10" s="11"/>
      <c r="D10" s="5"/>
    </row>
    <row r="11" spans="1:5" x14ac:dyDescent="0.4">
      <c r="A11" s="9">
        <v>3</v>
      </c>
      <c r="B11" s="7" t="s">
        <v>7</v>
      </c>
      <c r="C11" s="356" t="s">
        <v>8</v>
      </c>
      <c r="D11" s="357"/>
      <c r="E11" s="358"/>
    </row>
    <row r="12" spans="1:5" x14ac:dyDescent="0.4">
      <c r="A12" s="9"/>
      <c r="B12" s="359" t="s">
        <v>5</v>
      </c>
      <c r="C12" s="359"/>
      <c r="D12" s="359"/>
      <c r="E12" s="10"/>
    </row>
    <row r="13" spans="1:5" x14ac:dyDescent="0.4">
      <c r="A13" s="9"/>
      <c r="B13" s="11"/>
      <c r="D13" s="5"/>
    </row>
    <row r="14" spans="1:5" x14ac:dyDescent="0.4">
      <c r="A14" s="9">
        <v>4</v>
      </c>
      <c r="B14" s="3" t="s">
        <v>9</v>
      </c>
      <c r="C14" s="4" t="s">
        <v>648</v>
      </c>
      <c r="D14" s="5"/>
    </row>
    <row r="15" spans="1:5" x14ac:dyDescent="0.4">
      <c r="A15" s="9"/>
      <c r="B15" s="363" t="s">
        <v>10</v>
      </c>
      <c r="C15" s="364"/>
      <c r="D15" s="5"/>
    </row>
    <row r="16" spans="1:5" x14ac:dyDescent="0.4">
      <c r="A16" s="9"/>
      <c r="D16" s="5"/>
    </row>
    <row r="17" spans="1:14" ht="27.75" customHeight="1"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635</v>
      </c>
      <c r="C19" s="367" t="s">
        <v>13</v>
      </c>
      <c r="D19" s="367"/>
      <c r="E19" s="367"/>
      <c r="F19" s="15"/>
      <c r="G19" s="13"/>
      <c r="I19" s="13"/>
      <c r="J19" s="13"/>
      <c r="K19" s="13"/>
      <c r="L19" s="13"/>
      <c r="M19" s="13"/>
      <c r="N19" s="13"/>
    </row>
    <row r="20" spans="1:14" x14ac:dyDescent="0.4">
      <c r="A20" s="9"/>
      <c r="B20" s="14" t="s">
        <v>605</v>
      </c>
      <c r="C20" s="367" t="s">
        <v>13</v>
      </c>
      <c r="D20" s="367"/>
      <c r="E20" s="367"/>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63" t="s">
        <v>244</v>
      </c>
      <c r="C23" s="368"/>
      <c r="D23" s="368"/>
      <c r="E23" s="36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28.5" customHeight="1"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263</v>
      </c>
      <c r="E28" s="18" t="s">
        <v>23</v>
      </c>
      <c r="F28" s="15"/>
    </row>
    <row r="29" spans="1:14" ht="12.7" customHeight="1" x14ac:dyDescent="0.4">
      <c r="A29" s="9"/>
      <c r="B29" s="19" t="s">
        <v>24</v>
      </c>
      <c r="C29" s="20">
        <v>27441.200000000001</v>
      </c>
      <c r="D29" s="20">
        <v>17130.669999999998</v>
      </c>
      <c r="E29" s="20">
        <v>13489.72</v>
      </c>
      <c r="F29" s="15"/>
    </row>
    <row r="30" spans="1:14" x14ac:dyDescent="0.4">
      <c r="A30" s="9"/>
      <c r="B30" s="19" t="s">
        <v>25</v>
      </c>
      <c r="C30" s="20">
        <v>673.62</v>
      </c>
      <c r="D30" s="20">
        <v>150.38999999999999</v>
      </c>
      <c r="E30" s="20">
        <v>85.44</v>
      </c>
      <c r="F30" s="15"/>
    </row>
    <row r="31" spans="1:14" x14ac:dyDescent="0.4">
      <c r="A31" s="9"/>
      <c r="B31" s="19" t="s">
        <v>26</v>
      </c>
      <c r="C31" s="20">
        <v>1775.2</v>
      </c>
      <c r="D31" s="20">
        <v>1775.2</v>
      </c>
      <c r="E31" s="20">
        <v>1775.2</v>
      </c>
      <c r="F31" s="15"/>
    </row>
    <row r="32" spans="1:14" x14ac:dyDescent="0.4">
      <c r="A32" s="9"/>
      <c r="B32" s="19" t="s">
        <v>27</v>
      </c>
      <c r="C32" s="20">
        <v>4471.9399999999996</v>
      </c>
      <c r="D32" s="20">
        <v>4622.33</v>
      </c>
      <c r="E32" s="20">
        <v>4707.4799999999996</v>
      </c>
      <c r="F32" s="15"/>
    </row>
    <row r="33" spans="1:10" x14ac:dyDescent="0.4">
      <c r="A33" s="9"/>
      <c r="B33" s="363" t="s">
        <v>244</v>
      </c>
      <c r="C33" s="368"/>
      <c r="D33" s="368"/>
      <c r="E33" s="369"/>
      <c r="F33" s="15"/>
    </row>
    <row r="34" spans="1:10" x14ac:dyDescent="0.4">
      <c r="A34" s="9"/>
      <c r="B34" s="13"/>
      <c r="C34" s="15"/>
      <c r="D34" s="15"/>
      <c r="E34" s="15"/>
      <c r="F34" s="15"/>
    </row>
    <row r="35" spans="1:10" ht="30.05" customHeight="1"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t="s">
        <v>693</v>
      </c>
      <c r="E37" s="13"/>
      <c r="F37" s="13"/>
    </row>
    <row r="38" spans="1:10" x14ac:dyDescent="0.4">
      <c r="A38" s="9"/>
      <c r="B38" s="22" t="s">
        <v>32</v>
      </c>
      <c r="C38" s="20" t="s">
        <v>808</v>
      </c>
      <c r="D38" s="13"/>
      <c r="E38" s="13"/>
      <c r="F38" s="13"/>
    </row>
    <row r="39" spans="1:10" x14ac:dyDescent="0.4">
      <c r="A39" s="9"/>
      <c r="B39" s="359"/>
      <c r="C39" s="359"/>
      <c r="D39" s="13"/>
      <c r="E39" s="13"/>
      <c r="F39" s="13"/>
    </row>
    <row r="40" spans="1:10" x14ac:dyDescent="0.4">
      <c r="A40" s="9"/>
      <c r="C40" s="13"/>
      <c r="D40" s="13"/>
      <c r="E40" s="13"/>
      <c r="F40" s="13"/>
    </row>
    <row r="41" spans="1:10" x14ac:dyDescent="0.4">
      <c r="A41" s="9"/>
      <c r="B41" s="15"/>
      <c r="C41" s="13"/>
      <c r="D41" s="13"/>
      <c r="E41" s="13"/>
      <c r="F41" s="13"/>
    </row>
    <row r="42" spans="1:10" ht="30.7" customHeight="1" x14ac:dyDescent="0.4">
      <c r="A42" s="9">
        <v>8</v>
      </c>
      <c r="B42" s="365" t="s">
        <v>33</v>
      </c>
      <c r="C42" s="365"/>
      <c r="D42" s="365"/>
      <c r="E42" s="365"/>
      <c r="F42" s="11"/>
      <c r="G42" s="11"/>
      <c r="H42" s="11"/>
      <c r="I42" s="11"/>
      <c r="J42" s="11"/>
    </row>
    <row r="43" spans="1:10" x14ac:dyDescent="0.4">
      <c r="A43" s="9"/>
      <c r="B43" s="17" t="s">
        <v>34</v>
      </c>
      <c r="C43" s="373" t="s">
        <v>755</v>
      </c>
      <c r="D43" s="374"/>
      <c r="E43" s="375"/>
      <c r="F43" s="13"/>
    </row>
    <row r="44" spans="1:10" x14ac:dyDescent="0.4">
      <c r="A44" s="9"/>
      <c r="B44" s="17" t="s">
        <v>31</v>
      </c>
      <c r="C44" s="373" t="s">
        <v>755</v>
      </c>
      <c r="D44" s="374"/>
      <c r="E44" s="375"/>
      <c r="F44" s="13" t="s">
        <v>693</v>
      </c>
    </row>
    <row r="45" spans="1:10" x14ac:dyDescent="0.4">
      <c r="A45" s="9"/>
      <c r="B45" s="17" t="s">
        <v>32</v>
      </c>
      <c r="C45" s="373" t="s">
        <v>755</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53" x14ac:dyDescent="0.4">
      <c r="A50" s="29"/>
      <c r="B50" s="78" t="s">
        <v>307</v>
      </c>
      <c r="C50" s="78" t="s">
        <v>649</v>
      </c>
      <c r="D50" s="28" t="s">
        <v>186</v>
      </c>
      <c r="E50" s="27" t="s">
        <v>186</v>
      </c>
    </row>
    <row r="51" spans="1:14" x14ac:dyDescent="0.4">
      <c r="A51" s="31"/>
      <c r="B51" s="380" t="s">
        <v>650</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651</v>
      </c>
      <c r="D54" s="386"/>
      <c r="E54" s="387"/>
      <c r="K54" s="1"/>
    </row>
    <row r="55" spans="1:14" ht="24.75" customHeight="1"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x14ac:dyDescent="0.4">
      <c r="A58" s="29"/>
      <c r="B58" s="380" t="s">
        <v>652</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43"/>
      <c r="F63" s="43"/>
      <c r="G63" s="11"/>
      <c r="H63" s="11"/>
      <c r="I63" s="11"/>
      <c r="J63" s="11"/>
      <c r="K63" s="11"/>
      <c r="L63" s="11"/>
      <c r="M63" s="11"/>
      <c r="N63" s="11"/>
    </row>
    <row r="64" spans="1:14" x14ac:dyDescent="0.4">
      <c r="A64" s="9"/>
      <c r="B64" s="11"/>
      <c r="C64" s="11"/>
      <c r="D64" s="11"/>
      <c r="E64" s="43"/>
      <c r="F64" s="43"/>
      <c r="G64" s="43"/>
      <c r="H64" s="11"/>
      <c r="I64" s="11"/>
      <c r="J64" s="11"/>
      <c r="K64" s="11"/>
      <c r="L64" s="11"/>
      <c r="M64" s="11"/>
      <c r="N64" s="11"/>
    </row>
    <row r="65" spans="1:16" x14ac:dyDescent="0.4">
      <c r="A65" s="9"/>
      <c r="B65" s="17" t="s">
        <v>52</v>
      </c>
      <c r="C65" s="19" t="s">
        <v>653</v>
      </c>
      <c r="D65" s="15"/>
      <c r="E65" s="15"/>
      <c r="F65" s="44"/>
      <c r="G65" s="44"/>
      <c r="H65" s="15"/>
      <c r="I65" s="15"/>
      <c r="J65" s="15"/>
      <c r="K65" s="15"/>
      <c r="L65" s="15"/>
      <c r="M65" s="15"/>
      <c r="N65" s="15"/>
    </row>
    <row r="66" spans="1:16" x14ac:dyDescent="0.4">
      <c r="A66" s="9"/>
      <c r="B66" s="15"/>
      <c r="C66" s="15"/>
      <c r="D66" s="15"/>
      <c r="E66" s="15"/>
      <c r="F66" s="15"/>
      <c r="G66" s="15"/>
      <c r="H66" s="15"/>
      <c r="I66" s="15"/>
      <c r="J66" s="15"/>
      <c r="K66" s="15"/>
      <c r="L66" s="15"/>
      <c r="M66" s="15"/>
      <c r="N66" s="15"/>
    </row>
    <row r="67" spans="1:16" ht="27.75" customHeight="1" x14ac:dyDescent="0.4">
      <c r="A67" s="9"/>
      <c r="B67" s="365" t="s">
        <v>53</v>
      </c>
      <c r="C67" s="366" t="s">
        <v>654</v>
      </c>
      <c r="D67" s="366" t="s">
        <v>271</v>
      </c>
      <c r="E67" s="403" t="s">
        <v>232</v>
      </c>
      <c r="F67" s="395" t="s">
        <v>626</v>
      </c>
      <c r="G67" s="396"/>
      <c r="H67" s="397"/>
      <c r="I67" s="398" t="s">
        <v>55</v>
      </c>
      <c r="J67" s="398"/>
      <c r="K67" s="398"/>
      <c r="L67" s="398" t="s">
        <v>56</v>
      </c>
      <c r="M67" s="398"/>
      <c r="N67" s="398"/>
    </row>
    <row r="68" spans="1:16"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6" x14ac:dyDescent="0.4">
      <c r="A69" s="2"/>
      <c r="B69" s="17" t="s">
        <v>103</v>
      </c>
      <c r="C69" s="111">
        <v>33.700000000000003</v>
      </c>
      <c r="D69" s="45">
        <v>35</v>
      </c>
      <c r="E69" s="46">
        <v>41.2</v>
      </c>
      <c r="F69" s="46">
        <v>33</v>
      </c>
      <c r="G69" s="46">
        <v>42.5</v>
      </c>
      <c r="H69" s="46">
        <v>32.75</v>
      </c>
      <c r="I69" s="45">
        <v>33.1</v>
      </c>
      <c r="J69" s="45">
        <v>36</v>
      </c>
      <c r="K69" s="45">
        <v>32</v>
      </c>
      <c r="L69" s="45">
        <v>36.700000000000003</v>
      </c>
      <c r="M69" s="45">
        <v>36.700000000000003</v>
      </c>
      <c r="N69" s="45">
        <v>36.700000000000003</v>
      </c>
    </row>
    <row r="70" spans="1:16" ht="25.65" x14ac:dyDescent="0.4">
      <c r="A70" s="2"/>
      <c r="B70" s="17" t="s">
        <v>627</v>
      </c>
      <c r="C70" s="111">
        <v>10460.1</v>
      </c>
      <c r="D70" s="111">
        <v>10482.200000000001</v>
      </c>
      <c r="E70" s="46">
        <v>10771.8</v>
      </c>
      <c r="F70" s="45">
        <v>11623.9</v>
      </c>
      <c r="G70" s="45">
        <v>11760.2</v>
      </c>
      <c r="H70" s="45">
        <v>10004.549999999999</v>
      </c>
      <c r="I70" s="45">
        <v>8597.75</v>
      </c>
      <c r="J70" s="45">
        <v>12430.5</v>
      </c>
      <c r="K70" s="45">
        <v>7511.1</v>
      </c>
      <c r="L70" s="45">
        <v>14690.7</v>
      </c>
      <c r="M70" s="45">
        <v>15431.75</v>
      </c>
      <c r="N70" s="45">
        <v>8055.8</v>
      </c>
    </row>
    <row r="71" spans="1:16" x14ac:dyDescent="0.4">
      <c r="A71" s="2"/>
      <c r="B71" s="401" t="s">
        <v>94</v>
      </c>
      <c r="C71" s="459"/>
      <c r="D71" s="459"/>
      <c r="E71" s="401"/>
      <c r="F71" s="401"/>
      <c r="G71" s="401"/>
      <c r="H71" s="401"/>
      <c r="I71" s="401"/>
      <c r="J71" s="401"/>
      <c r="K71" s="401"/>
      <c r="L71" s="401"/>
      <c r="M71" s="401"/>
      <c r="N71" s="401"/>
    </row>
    <row r="72" spans="1:16" x14ac:dyDescent="0.4">
      <c r="A72" s="2"/>
      <c r="B72" s="359" t="s">
        <v>63</v>
      </c>
      <c r="C72" s="359"/>
      <c r="D72" s="359"/>
      <c r="E72" s="359"/>
      <c r="F72" s="359"/>
      <c r="G72" s="359"/>
      <c r="H72" s="359"/>
      <c r="I72" s="359"/>
      <c r="J72" s="359"/>
      <c r="K72" s="359"/>
      <c r="L72" s="359"/>
      <c r="M72" s="359"/>
      <c r="N72" s="359"/>
    </row>
    <row r="73" spans="1:16" s="1" customFormat="1" x14ac:dyDescent="0.4">
      <c r="B73" s="359" t="s">
        <v>64</v>
      </c>
      <c r="C73" s="359"/>
      <c r="D73" s="359"/>
      <c r="E73" s="359"/>
      <c r="F73" s="359"/>
      <c r="G73" s="359"/>
      <c r="H73" s="359"/>
      <c r="I73" s="359"/>
      <c r="J73" s="359"/>
      <c r="K73" s="359"/>
      <c r="L73" s="359"/>
      <c r="M73" s="359"/>
      <c r="N73" s="359"/>
      <c r="P73" s="1" t="s">
        <v>693</v>
      </c>
    </row>
    <row r="74" spans="1:16" x14ac:dyDescent="0.4">
      <c r="A74" s="2"/>
      <c r="B74" s="359" t="s">
        <v>358</v>
      </c>
      <c r="C74" s="359"/>
      <c r="D74" s="359"/>
      <c r="E74" s="359"/>
      <c r="F74" s="359"/>
      <c r="G74" s="359"/>
      <c r="H74" s="359"/>
      <c r="I74" s="359"/>
      <c r="J74" s="359"/>
      <c r="K74" s="359"/>
      <c r="L74" s="359"/>
      <c r="M74" s="359"/>
      <c r="N74" s="359"/>
    </row>
    <row r="75" spans="1:16" x14ac:dyDescent="0.4">
      <c r="A75" s="2"/>
      <c r="B75" s="359" t="s">
        <v>65</v>
      </c>
      <c r="C75" s="359"/>
      <c r="D75" s="359"/>
      <c r="E75" s="359"/>
      <c r="F75" s="359"/>
      <c r="G75" s="359"/>
      <c r="H75" s="359"/>
      <c r="I75" s="359"/>
      <c r="J75" s="359"/>
      <c r="K75" s="359"/>
      <c r="L75" s="359"/>
      <c r="M75" s="359"/>
      <c r="N75" s="359"/>
    </row>
    <row r="76" spans="1:16" x14ac:dyDescent="0.4">
      <c r="A76" s="2"/>
      <c r="B76" s="49"/>
      <c r="C76" s="49"/>
      <c r="D76" s="49"/>
      <c r="E76" s="49"/>
      <c r="F76" s="49"/>
      <c r="G76" s="13"/>
      <c r="H76" s="13"/>
      <c r="I76" s="13"/>
      <c r="J76" s="13"/>
      <c r="K76" s="13"/>
      <c r="L76" s="13"/>
      <c r="M76" s="13"/>
      <c r="N76" s="13"/>
    </row>
    <row r="77" spans="1:16" x14ac:dyDescent="0.4">
      <c r="A77" s="9">
        <v>13</v>
      </c>
      <c r="B77" s="405" t="s">
        <v>66</v>
      </c>
      <c r="C77" s="406"/>
      <c r="D77" s="406"/>
      <c r="E77" s="406"/>
      <c r="F77" s="406"/>
      <c r="G77" s="376"/>
      <c r="H77" s="11"/>
      <c r="I77" s="11"/>
      <c r="J77" s="11"/>
      <c r="K77" s="11"/>
      <c r="L77" s="11"/>
      <c r="M77" s="11"/>
      <c r="N77" s="11"/>
    </row>
    <row r="78" spans="1:16" x14ac:dyDescent="0.4">
      <c r="A78" s="9"/>
      <c r="C78" s="15"/>
      <c r="D78" s="15"/>
      <c r="E78" s="15"/>
      <c r="F78" s="15"/>
      <c r="G78" s="15"/>
      <c r="H78" s="15"/>
      <c r="I78" s="15"/>
      <c r="J78" s="15"/>
      <c r="K78" s="15"/>
      <c r="L78" s="15"/>
      <c r="M78" s="15"/>
      <c r="N78" s="15"/>
    </row>
    <row r="79" spans="1:16" ht="102.5" x14ac:dyDescent="0.4">
      <c r="A79" s="2"/>
      <c r="B79" s="50" t="s">
        <v>67</v>
      </c>
      <c r="C79" s="18" t="s">
        <v>68</v>
      </c>
      <c r="D79" s="18" t="s">
        <v>69</v>
      </c>
      <c r="E79" s="18" t="s">
        <v>218</v>
      </c>
      <c r="F79" s="18" t="s">
        <v>71</v>
      </c>
      <c r="G79" s="18" t="s">
        <v>107</v>
      </c>
      <c r="H79" s="13"/>
      <c r="I79" s="13"/>
      <c r="J79" s="13"/>
      <c r="K79" s="13"/>
      <c r="L79" s="13"/>
      <c r="M79" s="13"/>
      <c r="N79" s="13"/>
    </row>
    <row r="80" spans="1:16" ht="12.7" customHeight="1" x14ac:dyDescent="0.35">
      <c r="A80" s="2"/>
      <c r="B80" s="394" t="s">
        <v>72</v>
      </c>
      <c r="C80" s="3" t="s">
        <v>655</v>
      </c>
      <c r="D80" s="65">
        <v>3.82</v>
      </c>
      <c r="E80" s="20">
        <v>4.42</v>
      </c>
      <c r="F80" s="52">
        <v>0.85</v>
      </c>
      <c r="G80" s="52">
        <v>0.48</v>
      </c>
      <c r="H80" s="53"/>
      <c r="I80" s="53"/>
      <c r="J80" s="53"/>
      <c r="K80" s="53"/>
      <c r="L80" s="53"/>
      <c r="M80" s="53"/>
      <c r="N80" s="53"/>
    </row>
    <row r="81" spans="1:14" x14ac:dyDescent="0.4">
      <c r="A81" s="2"/>
      <c r="B81" s="394"/>
      <c r="C81" s="3" t="s">
        <v>73</v>
      </c>
      <c r="D81" s="54"/>
      <c r="E81" s="20"/>
      <c r="F81" s="52"/>
      <c r="G81" s="52"/>
      <c r="H81" s="53"/>
      <c r="I81" s="53"/>
      <c r="J81" s="53"/>
      <c r="K81" s="53"/>
      <c r="L81" s="53"/>
      <c r="M81" s="53"/>
      <c r="N81" s="53"/>
    </row>
    <row r="82" spans="1:14" x14ac:dyDescent="0.3">
      <c r="A82" s="2"/>
      <c r="B82" s="394"/>
      <c r="C82" s="148" t="s">
        <v>656</v>
      </c>
      <c r="D82" s="54">
        <v>12.35</v>
      </c>
      <c r="E82" s="20">
        <v>7.26</v>
      </c>
      <c r="F82" s="52">
        <v>6.57</v>
      </c>
      <c r="G82" s="52">
        <v>6.77</v>
      </c>
      <c r="H82" s="53"/>
      <c r="I82" s="53"/>
      <c r="J82" s="53"/>
      <c r="K82" s="53"/>
      <c r="L82" s="53"/>
      <c r="M82" s="53"/>
      <c r="N82" s="53"/>
    </row>
    <row r="83" spans="1:14" x14ac:dyDescent="0.3">
      <c r="A83" s="2"/>
      <c r="B83" s="394"/>
      <c r="C83" s="148" t="s">
        <v>657</v>
      </c>
      <c r="D83" s="54">
        <v>0.98</v>
      </c>
      <c r="E83" s="20">
        <v>2.74</v>
      </c>
      <c r="F83" s="52">
        <v>6.21</v>
      </c>
      <c r="G83" s="52">
        <v>6.03</v>
      </c>
      <c r="H83" s="53"/>
      <c r="I83" s="53"/>
      <c r="J83" s="53"/>
      <c r="K83" s="53"/>
      <c r="L83" s="53"/>
      <c r="M83" s="53"/>
      <c r="N83" s="53"/>
    </row>
    <row r="84" spans="1:14" x14ac:dyDescent="0.4">
      <c r="A84" s="2"/>
      <c r="B84" s="394"/>
      <c r="C84" s="3" t="s">
        <v>74</v>
      </c>
      <c r="D84" s="76">
        <v>6.665</v>
      </c>
      <c r="E84" s="134">
        <f>SUM(E82:E83)/2</f>
        <v>5</v>
      </c>
      <c r="F84" s="134">
        <f t="shared" ref="F84:G84" si="0">SUM(F82:F83)/2</f>
        <v>6.3900000000000006</v>
      </c>
      <c r="G84" s="134">
        <f t="shared" si="0"/>
        <v>6.4</v>
      </c>
      <c r="H84" s="53"/>
      <c r="I84" s="53"/>
      <c r="J84" s="53"/>
      <c r="K84" s="53"/>
      <c r="L84" s="53"/>
      <c r="M84" s="53"/>
      <c r="N84" s="53"/>
    </row>
    <row r="85" spans="1:14" x14ac:dyDescent="0.35">
      <c r="A85" s="2"/>
      <c r="B85" s="394" t="s">
        <v>75</v>
      </c>
      <c r="C85" s="3" t="s">
        <v>655</v>
      </c>
      <c r="D85" s="77">
        <v>8.3800000000000008</v>
      </c>
      <c r="E85" s="101">
        <f>F69/E80</f>
        <v>7.4660633484162897</v>
      </c>
      <c r="F85" s="101">
        <f>I69/F80</f>
        <v>38.941176470588239</v>
      </c>
      <c r="G85" s="101">
        <f>L69/G80</f>
        <v>76.458333333333343</v>
      </c>
      <c r="H85" s="53"/>
      <c r="I85" s="53"/>
      <c r="J85" s="53"/>
      <c r="K85" s="53"/>
      <c r="L85" s="53"/>
      <c r="M85" s="53"/>
      <c r="N85" s="53"/>
    </row>
    <row r="86" spans="1:14" x14ac:dyDescent="0.4">
      <c r="A86" s="2"/>
      <c r="B86" s="394"/>
      <c r="C86" s="3" t="s">
        <v>73</v>
      </c>
      <c r="D86" s="54"/>
      <c r="E86" s="20"/>
      <c r="F86" s="52"/>
      <c r="G86" s="52"/>
      <c r="H86" s="53"/>
      <c r="I86" s="53"/>
      <c r="J86" s="53"/>
      <c r="K86" s="53"/>
      <c r="L86" s="53"/>
      <c r="M86" s="53"/>
      <c r="N86" s="53"/>
    </row>
    <row r="87" spans="1:14" x14ac:dyDescent="0.3">
      <c r="A87" s="2"/>
      <c r="B87" s="394"/>
      <c r="C87" s="148" t="s">
        <v>656</v>
      </c>
      <c r="D87" s="54">
        <v>13.37</v>
      </c>
      <c r="E87" s="101">
        <f>100.5/E82</f>
        <v>13.842975206611571</v>
      </c>
      <c r="F87" s="101">
        <f>44.6/F82</f>
        <v>6.788432267884323</v>
      </c>
      <c r="G87" s="101">
        <f>80.1/G82</f>
        <v>11.831610044313146</v>
      </c>
      <c r="H87" s="53"/>
      <c r="I87" s="53"/>
      <c r="J87" s="53"/>
      <c r="K87" s="53"/>
      <c r="L87" s="53"/>
      <c r="M87" s="53"/>
      <c r="N87" s="53"/>
    </row>
    <row r="88" spans="1:14" x14ac:dyDescent="0.3">
      <c r="A88" s="2"/>
      <c r="B88" s="394"/>
      <c r="C88" s="148" t="s">
        <v>657</v>
      </c>
      <c r="D88" s="76">
        <v>33.57</v>
      </c>
      <c r="E88" s="20">
        <v>12.41</v>
      </c>
      <c r="F88" s="55">
        <f>49.75/F83</f>
        <v>8.0112721417069235</v>
      </c>
      <c r="G88" s="55">
        <f>77.6/G83</f>
        <v>12.868988391376449</v>
      </c>
      <c r="H88" s="53"/>
      <c r="I88" s="53"/>
      <c r="J88" s="53"/>
      <c r="K88" s="53"/>
      <c r="L88" s="53"/>
      <c r="M88" s="53"/>
      <c r="N88" s="53"/>
    </row>
    <row r="89" spans="1:14" x14ac:dyDescent="0.4">
      <c r="A89" s="2"/>
      <c r="B89" s="394"/>
      <c r="C89" s="3" t="s">
        <v>74</v>
      </c>
      <c r="D89" s="76">
        <v>23.47</v>
      </c>
      <c r="E89" s="134">
        <f>SUM(E87:E88)/2</f>
        <v>13.126487603305787</v>
      </c>
      <c r="F89" s="134">
        <f t="shared" ref="F89:G89" si="1">SUM(F87:F88)/2</f>
        <v>7.3998522047956232</v>
      </c>
      <c r="G89" s="134">
        <f t="shared" si="1"/>
        <v>12.350299217844798</v>
      </c>
      <c r="H89" s="53"/>
      <c r="I89" s="53"/>
      <c r="J89" s="53"/>
      <c r="K89" s="53"/>
      <c r="L89" s="53"/>
      <c r="M89" s="53"/>
      <c r="N89" s="53"/>
    </row>
    <row r="90" spans="1:14" x14ac:dyDescent="0.35">
      <c r="A90" s="2"/>
      <c r="B90" s="394" t="s">
        <v>76</v>
      </c>
      <c r="C90" s="3" t="s">
        <v>655</v>
      </c>
      <c r="D90" s="65">
        <v>12.66</v>
      </c>
      <c r="E90" s="101">
        <f>674.62/6247.14*100</f>
        <v>10.798861559049421</v>
      </c>
      <c r="F90" s="52">
        <v>2.35</v>
      </c>
      <c r="G90" s="52">
        <v>1.32</v>
      </c>
      <c r="H90" s="53"/>
      <c r="I90" s="53"/>
      <c r="J90" s="53"/>
      <c r="K90" s="53"/>
      <c r="L90" s="53"/>
      <c r="M90" s="53"/>
      <c r="N90" s="53"/>
    </row>
    <row r="91" spans="1:14" x14ac:dyDescent="0.4">
      <c r="A91" s="2"/>
      <c r="B91" s="394"/>
      <c r="C91" s="3" t="s">
        <v>73</v>
      </c>
      <c r="D91" s="54"/>
      <c r="E91" s="20"/>
      <c r="F91" s="52"/>
      <c r="G91" s="52"/>
      <c r="H91" s="53"/>
      <c r="I91" s="53"/>
      <c r="J91" s="53"/>
      <c r="K91" s="53"/>
      <c r="L91" s="53"/>
      <c r="M91" s="53"/>
      <c r="N91" s="53"/>
    </row>
    <row r="92" spans="1:14" x14ac:dyDescent="0.3">
      <c r="A92" s="2"/>
      <c r="B92" s="394"/>
      <c r="C92" s="148" t="s">
        <v>656</v>
      </c>
      <c r="D92" s="54">
        <v>19.09</v>
      </c>
      <c r="E92" s="101">
        <f>1596.82/18253.87*100</f>
        <v>8.7478436079582025</v>
      </c>
      <c r="F92" s="52">
        <v>8.06</v>
      </c>
      <c r="G92" s="52">
        <v>7.85</v>
      </c>
      <c r="H92" s="53"/>
      <c r="I92" s="53"/>
      <c r="J92" s="53"/>
      <c r="K92" s="53"/>
      <c r="L92" s="53"/>
      <c r="M92" s="53"/>
      <c r="N92" s="53"/>
    </row>
    <row r="93" spans="1:14" x14ac:dyDescent="0.3">
      <c r="A93" s="2"/>
      <c r="B93" s="394"/>
      <c r="C93" s="148" t="s">
        <v>657</v>
      </c>
      <c r="D93" s="54">
        <v>6.49</v>
      </c>
      <c r="E93" s="101">
        <f>0.09*100</f>
        <v>9</v>
      </c>
      <c r="F93" s="52">
        <v>15.91</v>
      </c>
      <c r="G93" s="52">
        <v>14.01</v>
      </c>
      <c r="H93" s="53"/>
      <c r="I93" s="53"/>
      <c r="J93" s="53"/>
      <c r="K93" s="53"/>
      <c r="L93" s="53"/>
      <c r="M93" s="53"/>
      <c r="N93" s="53"/>
    </row>
    <row r="94" spans="1:14" x14ac:dyDescent="0.4">
      <c r="A94" s="2"/>
      <c r="B94" s="394"/>
      <c r="C94" s="3" t="s">
        <v>74</v>
      </c>
      <c r="D94" s="76">
        <v>12.79</v>
      </c>
      <c r="E94" s="101">
        <f>SUM(E92:E93)/2</f>
        <v>8.8739218039791012</v>
      </c>
      <c r="F94" s="101">
        <f t="shared" ref="F94:G94" si="2">SUM(F92:F93)/2</f>
        <v>11.984999999999999</v>
      </c>
      <c r="G94" s="101">
        <f t="shared" si="2"/>
        <v>10.93</v>
      </c>
      <c r="H94" s="53"/>
      <c r="I94" s="53"/>
      <c r="J94" s="53"/>
      <c r="K94" s="57"/>
      <c r="L94" s="53"/>
      <c r="M94" s="53"/>
      <c r="N94" s="53"/>
    </row>
    <row r="95" spans="1:14" x14ac:dyDescent="0.35">
      <c r="A95" s="2"/>
      <c r="B95" s="394" t="s">
        <v>77</v>
      </c>
      <c r="C95" s="3" t="s">
        <v>655</v>
      </c>
      <c r="D95" s="65">
        <v>30.14</v>
      </c>
      <c r="E95" s="134">
        <f>6247.14*100000/17752000</f>
        <v>35.191189725101395</v>
      </c>
      <c r="F95" s="129">
        <v>36.04</v>
      </c>
      <c r="G95" s="129">
        <v>36.520000000000003</v>
      </c>
      <c r="H95" s="53"/>
      <c r="I95" s="53"/>
      <c r="J95" s="53"/>
      <c r="K95" s="53"/>
      <c r="L95" s="53"/>
      <c r="M95" s="53"/>
      <c r="N95" s="53"/>
    </row>
    <row r="96" spans="1:14" x14ac:dyDescent="0.4">
      <c r="A96" s="2"/>
      <c r="B96" s="394"/>
      <c r="C96" s="3" t="s">
        <v>73</v>
      </c>
      <c r="D96" s="54"/>
      <c r="E96" s="20"/>
      <c r="F96" s="52"/>
      <c r="G96" s="52"/>
      <c r="H96" s="53"/>
      <c r="I96" s="53"/>
      <c r="J96" s="53"/>
      <c r="K96" s="53"/>
      <c r="L96" s="53"/>
      <c r="M96" s="53"/>
      <c r="N96" s="53"/>
    </row>
    <row r="97" spans="1:14" x14ac:dyDescent="0.3">
      <c r="A97" s="2"/>
      <c r="B97" s="411"/>
      <c r="C97" s="148" t="s">
        <v>656</v>
      </c>
      <c r="D97" s="54">
        <v>75.88</v>
      </c>
      <c r="E97" s="101">
        <f>18253.87*100000/11000000</f>
        <v>165.94427272727273</v>
      </c>
      <c r="F97" s="52">
        <v>81.260000000000005</v>
      </c>
      <c r="G97" s="52"/>
      <c r="H97" s="53"/>
      <c r="I97" s="53" t="s">
        <v>693</v>
      </c>
      <c r="J97" s="53"/>
      <c r="K97" s="53"/>
      <c r="L97" s="53"/>
      <c r="M97" s="53"/>
      <c r="N97" s="53"/>
    </row>
    <row r="98" spans="1:14" x14ac:dyDescent="0.3">
      <c r="A98" s="2"/>
      <c r="B98" s="411"/>
      <c r="C98" s="148" t="s">
        <v>657</v>
      </c>
      <c r="D98" s="54">
        <v>22.23</v>
      </c>
      <c r="E98" s="20">
        <v>31.84</v>
      </c>
      <c r="F98" s="52">
        <v>39.03</v>
      </c>
      <c r="G98" s="52">
        <v>43.05</v>
      </c>
      <c r="H98" s="53"/>
      <c r="I98" s="53"/>
      <c r="J98" s="53"/>
      <c r="K98" s="53"/>
      <c r="L98" s="53"/>
      <c r="M98" s="53"/>
      <c r="N98" s="53"/>
    </row>
    <row r="99" spans="1:14" x14ac:dyDescent="0.4">
      <c r="A99" s="2"/>
      <c r="B99" s="411"/>
      <c r="C99" s="3" t="s">
        <v>74</v>
      </c>
      <c r="D99" s="76">
        <v>49.055</v>
      </c>
      <c r="E99" s="134">
        <f>SUM(E97:E98)/2</f>
        <v>98.892136363636368</v>
      </c>
      <c r="F99" s="134">
        <f t="shared" ref="F99:G99" si="3">SUM(F97:F98)/2</f>
        <v>60.145000000000003</v>
      </c>
      <c r="G99" s="134">
        <f t="shared" si="3"/>
        <v>21.524999999999999</v>
      </c>
      <c r="H99" s="53"/>
      <c r="I99" s="53"/>
      <c r="J99" s="53"/>
      <c r="K99" s="53"/>
      <c r="L99" s="53"/>
      <c r="M99" s="53"/>
      <c r="N99" s="53"/>
    </row>
    <row r="100" spans="1:14" s="1" customFormat="1" x14ac:dyDescent="0.4">
      <c r="B100" s="412"/>
      <c r="C100" s="413"/>
      <c r="D100" s="413"/>
      <c r="E100" s="413"/>
      <c r="F100" s="413"/>
      <c r="G100" s="414"/>
    </row>
    <row r="101" spans="1:14" x14ac:dyDescent="0.4">
      <c r="A101" s="2"/>
      <c r="B101" s="415" t="s">
        <v>658</v>
      </c>
      <c r="C101" s="416"/>
      <c r="D101" s="416"/>
      <c r="E101" s="416"/>
      <c r="F101" s="416"/>
      <c r="G101" s="417"/>
      <c r="H101" s="53"/>
      <c r="I101" s="53"/>
      <c r="J101" s="53"/>
      <c r="K101" s="53"/>
      <c r="L101" s="53"/>
      <c r="M101" s="53"/>
      <c r="N101" s="53"/>
    </row>
    <row r="102" spans="1:14" x14ac:dyDescent="0.4">
      <c r="A102" s="2"/>
      <c r="B102" s="418" t="s">
        <v>85</v>
      </c>
      <c r="C102" s="419"/>
      <c r="D102" s="419"/>
      <c r="E102" s="419"/>
      <c r="F102" s="419"/>
      <c r="G102" s="420"/>
      <c r="H102" s="53"/>
      <c r="I102" s="53"/>
      <c r="J102" s="53"/>
      <c r="K102" s="53"/>
      <c r="L102" s="53"/>
      <c r="M102" s="53"/>
      <c r="N102" s="53"/>
    </row>
    <row r="103" spans="1:14" x14ac:dyDescent="0.4">
      <c r="A103" s="2"/>
      <c r="B103" s="363"/>
      <c r="C103" s="368"/>
      <c r="D103" s="368"/>
      <c r="E103" s="368"/>
      <c r="F103" s="368"/>
      <c r="G103" s="369"/>
      <c r="H103" s="53"/>
      <c r="I103" s="53"/>
      <c r="J103" s="53"/>
      <c r="K103" s="53"/>
      <c r="L103" s="53"/>
      <c r="M103" s="53"/>
      <c r="N103" s="53"/>
    </row>
    <row r="104" spans="1:14" x14ac:dyDescent="0.4">
      <c r="C104" s="407"/>
      <c r="D104" s="407"/>
      <c r="E104" s="407"/>
      <c r="F104" s="407"/>
      <c r="G104" s="407"/>
      <c r="H104" s="53"/>
      <c r="I104" s="53"/>
    </row>
    <row r="105" spans="1:14" x14ac:dyDescent="0.4">
      <c r="A105" s="9">
        <v>14</v>
      </c>
      <c r="B105" s="61" t="s">
        <v>78</v>
      </c>
      <c r="C105" s="356" t="s">
        <v>41</v>
      </c>
      <c r="D105" s="357"/>
      <c r="E105" s="357"/>
      <c r="F105" s="357"/>
      <c r="G105" s="408"/>
    </row>
    <row r="106" spans="1:14" x14ac:dyDescent="0.4">
      <c r="A106" s="23"/>
      <c r="C106" s="69"/>
      <c r="D106" s="69"/>
      <c r="E106" s="69"/>
      <c r="F106" s="69"/>
      <c r="G106" s="69"/>
    </row>
    <row r="107" spans="1:14" x14ac:dyDescent="0.4">
      <c r="C107" s="69"/>
      <c r="D107" s="69"/>
      <c r="E107" s="69"/>
      <c r="F107" s="69"/>
      <c r="G107" s="69"/>
    </row>
    <row r="109" spans="1:14" x14ac:dyDescent="0.4">
      <c r="B109" s="409" t="s">
        <v>659</v>
      </c>
      <c r="C109" s="410"/>
      <c r="D109" s="410"/>
      <c r="E109" s="410"/>
      <c r="F109" s="410"/>
      <c r="G109" s="410"/>
      <c r="H109" s="410"/>
    </row>
    <row r="114" spans="4:5" x14ac:dyDescent="0.4">
      <c r="D114" s="107"/>
      <c r="E114" s="107"/>
    </row>
    <row r="115" spans="4:5" x14ac:dyDescent="0.4">
      <c r="E115" s="107"/>
    </row>
  </sheetData>
  <sheetProtection password="DB00" sheet="1" objects="1" scenarios="1"/>
  <mergeCells count="58">
    <mergeCell ref="C105:G105"/>
    <mergeCell ref="B109:H109"/>
    <mergeCell ref="B95:B99"/>
    <mergeCell ref="B100:G100"/>
    <mergeCell ref="B101:G101"/>
    <mergeCell ref="B102:G102"/>
    <mergeCell ref="B103:G103"/>
    <mergeCell ref="C104:G104"/>
    <mergeCell ref="B90:B94"/>
    <mergeCell ref="F67:H67"/>
    <mergeCell ref="I67:K67"/>
    <mergeCell ref="L67:N67"/>
    <mergeCell ref="B71:N71"/>
    <mergeCell ref="B72:N72"/>
    <mergeCell ref="B73:N73"/>
    <mergeCell ref="B74:N74"/>
    <mergeCell ref="B75:N75"/>
    <mergeCell ref="B77:G77"/>
    <mergeCell ref="B80:B84"/>
    <mergeCell ref="B85:B89"/>
    <mergeCell ref="C57:E57"/>
    <mergeCell ref="B58:E58"/>
    <mergeCell ref="B59:E59"/>
    <mergeCell ref="C61:E61"/>
    <mergeCell ref="B67:B68"/>
    <mergeCell ref="C67:C68"/>
    <mergeCell ref="D67:D68"/>
    <mergeCell ref="E67:E68"/>
    <mergeCell ref="C56:E56"/>
    <mergeCell ref="B39:C39"/>
    <mergeCell ref="B42:E42"/>
    <mergeCell ref="C43:E43"/>
    <mergeCell ref="C44:E44"/>
    <mergeCell ref="C45:E45"/>
    <mergeCell ref="B46:E46"/>
    <mergeCell ref="B48:E48"/>
    <mergeCell ref="B51:E51"/>
    <mergeCell ref="B53:E53"/>
    <mergeCell ref="B54:B55"/>
    <mergeCell ref="C54:E55"/>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107"/>
  <sheetViews>
    <sheetView topLeftCell="A88" workbookViewId="0">
      <selection activeCell="D89" sqref="D89"/>
    </sheetView>
  </sheetViews>
  <sheetFormatPr defaultColWidth="8.84375" defaultRowHeight="13.25" x14ac:dyDescent="0.4"/>
  <cols>
    <col min="1" max="1" width="8.84375" style="8"/>
    <col min="2" max="2" width="40.84375" style="8" customWidth="1"/>
    <col min="3" max="3" width="43.4609375" style="8" customWidth="1"/>
    <col min="4" max="4" width="15.84375" style="8" customWidth="1"/>
    <col min="5" max="5" width="22.3046875" style="8"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 t="s">
        <v>696</v>
      </c>
    </row>
    <row r="4" spans="1:5" x14ac:dyDescent="0.4">
      <c r="D4" s="5"/>
    </row>
    <row r="5" spans="1:5" x14ac:dyDescent="0.4">
      <c r="A5" s="6">
        <v>1</v>
      </c>
      <c r="B5" s="7" t="s">
        <v>3</v>
      </c>
      <c r="C5" s="356" t="s">
        <v>697</v>
      </c>
      <c r="D5" s="357"/>
      <c r="E5" s="358"/>
    </row>
    <row r="6" spans="1:5" x14ac:dyDescent="0.4">
      <c r="A6" s="9"/>
      <c r="B6" s="359" t="s">
        <v>5</v>
      </c>
      <c r="C6" s="359"/>
      <c r="D6" s="359"/>
      <c r="E6" s="10"/>
    </row>
    <row r="7" spans="1:5" x14ac:dyDescent="0.4">
      <c r="A7" s="9"/>
      <c r="B7" s="11"/>
      <c r="D7" s="5"/>
    </row>
    <row r="8" spans="1:5" x14ac:dyDescent="0.4">
      <c r="A8" s="9">
        <v>2</v>
      </c>
      <c r="B8" s="7" t="s">
        <v>6</v>
      </c>
      <c r="C8" s="12" t="s">
        <v>698</v>
      </c>
      <c r="D8" s="5"/>
    </row>
    <row r="9" spans="1:5" x14ac:dyDescent="0.4">
      <c r="A9" s="9"/>
      <c r="B9" s="360" t="s">
        <v>5</v>
      </c>
      <c r="C9" s="361"/>
      <c r="D9" s="362"/>
    </row>
    <row r="10" spans="1:5" x14ac:dyDescent="0.4">
      <c r="A10" s="9"/>
      <c r="B10" s="11"/>
      <c r="D10" s="5"/>
    </row>
    <row r="11" spans="1:5" x14ac:dyDescent="0.4">
      <c r="A11" s="9">
        <v>3</v>
      </c>
      <c r="B11" s="7" t="s">
        <v>7</v>
      </c>
      <c r="C11" s="356" t="s">
        <v>8</v>
      </c>
      <c r="D11" s="357"/>
      <c r="E11" s="358"/>
    </row>
    <row r="12" spans="1:5" x14ac:dyDescent="0.4">
      <c r="A12" s="9"/>
      <c r="B12" s="359" t="s">
        <v>5</v>
      </c>
      <c r="C12" s="359"/>
      <c r="D12" s="359"/>
      <c r="E12" s="10"/>
    </row>
    <row r="13" spans="1:5" x14ac:dyDescent="0.4">
      <c r="A13" s="9"/>
      <c r="B13" s="11"/>
      <c r="D13" s="5"/>
    </row>
    <row r="14" spans="1:5" x14ac:dyDescent="0.4">
      <c r="A14" s="9">
        <v>4</v>
      </c>
      <c r="B14" s="3" t="s">
        <v>9</v>
      </c>
      <c r="C14" s="4" t="s">
        <v>717</v>
      </c>
      <c r="D14" s="5"/>
    </row>
    <row r="15" spans="1:5"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718</v>
      </c>
      <c r="C19" s="367" t="s">
        <v>13</v>
      </c>
      <c r="D19" s="367"/>
      <c r="E19" s="367"/>
      <c r="F19" s="15"/>
      <c r="G19" s="13"/>
      <c r="I19" s="13"/>
      <c r="J19" s="13"/>
      <c r="K19" s="13"/>
      <c r="L19" s="13"/>
      <c r="M19" s="13"/>
      <c r="N19" s="13"/>
    </row>
    <row r="20" spans="1:14" x14ac:dyDescent="0.4">
      <c r="A20" s="9"/>
      <c r="B20" s="14" t="s">
        <v>605</v>
      </c>
      <c r="C20" s="367" t="s">
        <v>13</v>
      </c>
      <c r="D20" s="367"/>
      <c r="E20" s="367"/>
      <c r="F20" s="15"/>
      <c r="G20" s="13"/>
      <c r="H20" s="13"/>
      <c r="I20" s="13"/>
      <c r="J20" s="13"/>
      <c r="K20" s="13"/>
      <c r="L20" s="13"/>
      <c r="M20" s="13"/>
      <c r="N20" s="13"/>
    </row>
    <row r="21" spans="1:14" x14ac:dyDescent="0.4">
      <c r="A21" s="9"/>
      <c r="B21" s="14" t="s">
        <v>15</v>
      </c>
      <c r="C21" s="367" t="s">
        <v>13</v>
      </c>
      <c r="D21" s="367"/>
      <c r="E21" s="367"/>
      <c r="F21" s="15" t="s">
        <v>693</v>
      </c>
      <c r="G21" s="13"/>
      <c r="H21" s="13"/>
      <c r="I21" s="13"/>
      <c r="J21" s="13"/>
      <c r="K21" s="13"/>
      <c r="L21" s="13"/>
      <c r="M21" s="13"/>
      <c r="N21" s="13"/>
    </row>
    <row r="22" spans="1:14" x14ac:dyDescent="0.4">
      <c r="A22" s="9"/>
      <c r="B22" s="16" t="s">
        <v>16</v>
      </c>
      <c r="C22" s="367" t="s">
        <v>13</v>
      </c>
      <c r="D22" s="367"/>
      <c r="E22" s="367"/>
      <c r="F22" s="15"/>
      <c r="G22" s="13"/>
      <c r="H22" s="13"/>
      <c r="I22" s="13"/>
      <c r="J22" s="13"/>
      <c r="K22" s="13"/>
      <c r="L22" s="13"/>
      <c r="M22" s="13"/>
      <c r="N22" s="13"/>
    </row>
    <row r="23" spans="1:14" x14ac:dyDescent="0.4">
      <c r="A23" s="9"/>
      <c r="B23" s="363"/>
      <c r="C23" s="368"/>
      <c r="D23" s="368"/>
      <c r="E23" s="36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263</v>
      </c>
      <c r="E28" s="18" t="s">
        <v>23</v>
      </c>
      <c r="F28" s="15"/>
    </row>
    <row r="29" spans="1:14" ht="12.7" customHeight="1" x14ac:dyDescent="0.4">
      <c r="A29" s="9"/>
      <c r="B29" s="19" t="s">
        <v>24</v>
      </c>
      <c r="C29" s="20">
        <v>2217.0100000000002</v>
      </c>
      <c r="D29" s="20">
        <v>3840.17</v>
      </c>
      <c r="E29" s="20">
        <v>8029.22</v>
      </c>
      <c r="F29" s="15"/>
    </row>
    <row r="30" spans="1:14" x14ac:dyDescent="0.4">
      <c r="A30" s="9"/>
      <c r="B30" s="19" t="s">
        <v>25</v>
      </c>
      <c r="C30" s="20">
        <v>160.5</v>
      </c>
      <c r="D30" s="20">
        <v>68.2</v>
      </c>
      <c r="E30" s="20">
        <v>149.21</v>
      </c>
      <c r="F30" s="15"/>
    </row>
    <row r="31" spans="1:14" x14ac:dyDescent="0.4">
      <c r="A31" s="9"/>
      <c r="B31" s="19" t="s">
        <v>26</v>
      </c>
      <c r="C31" s="20">
        <v>423.75</v>
      </c>
      <c r="D31" s="20">
        <v>423.75</v>
      </c>
      <c r="E31" s="20">
        <v>423.75</v>
      </c>
      <c r="F31" s="15"/>
    </row>
    <row r="32" spans="1:14" x14ac:dyDescent="0.4">
      <c r="A32" s="9"/>
      <c r="B32" s="19" t="s">
        <v>27</v>
      </c>
      <c r="C32" s="20">
        <v>1044.45</v>
      </c>
      <c r="D32" s="20">
        <v>1180.3</v>
      </c>
      <c r="E32" s="20">
        <v>1329.51</v>
      </c>
      <c r="F32" s="15"/>
    </row>
    <row r="33" spans="1:10" x14ac:dyDescent="0.4">
      <c r="A33" s="9"/>
      <c r="B33" s="363" t="s">
        <v>244</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808</v>
      </c>
      <c r="D38" s="13"/>
      <c r="E38" s="13"/>
      <c r="F38" s="13"/>
    </row>
    <row r="39" spans="1:10" x14ac:dyDescent="0.4">
      <c r="A39" s="9"/>
      <c r="B39" s="359"/>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730</v>
      </c>
      <c r="D43" s="374"/>
      <c r="E43" s="375"/>
      <c r="F43" s="13"/>
    </row>
    <row r="44" spans="1:10" ht="30.7" customHeight="1" x14ac:dyDescent="0.4">
      <c r="A44" s="9"/>
      <c r="B44" s="17" t="s">
        <v>31</v>
      </c>
      <c r="C44" s="373" t="s">
        <v>860</v>
      </c>
      <c r="D44" s="374"/>
      <c r="E44" s="375"/>
      <c r="F44" s="13"/>
    </row>
    <row r="45" spans="1:10" ht="42.75" customHeight="1" x14ac:dyDescent="0.4">
      <c r="A45" s="9"/>
      <c r="B45" s="17" t="s">
        <v>32</v>
      </c>
      <c r="C45" s="446" t="s">
        <v>861</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206</v>
      </c>
    </row>
    <row r="50" spans="1:14" ht="66.3" x14ac:dyDescent="0.4">
      <c r="A50" s="29"/>
      <c r="B50" s="78" t="s">
        <v>307</v>
      </c>
      <c r="C50" s="78" t="s">
        <v>723</v>
      </c>
      <c r="D50" s="28" t="s">
        <v>186</v>
      </c>
      <c r="E50" s="27" t="s">
        <v>186</v>
      </c>
    </row>
    <row r="51" spans="1:14" x14ac:dyDescent="0.4">
      <c r="A51" s="31"/>
      <c r="B51" s="380" t="s">
        <v>722</v>
      </c>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699</v>
      </c>
      <c r="D54" s="386"/>
      <c r="E54" s="387"/>
      <c r="K54" s="1"/>
    </row>
    <row r="55" spans="1:14" ht="43.55" customHeight="1" x14ac:dyDescent="0.4">
      <c r="A55" s="29"/>
      <c r="B55" s="384"/>
      <c r="C55" s="388"/>
      <c r="D55" s="389"/>
      <c r="E55" s="390"/>
      <c r="K55" s="1"/>
    </row>
    <row r="56" spans="1:14" x14ac:dyDescent="0.4">
      <c r="A56" s="24"/>
      <c r="B56" s="33" t="s">
        <v>44</v>
      </c>
      <c r="C56" s="391" t="s">
        <v>186</v>
      </c>
      <c r="D56" s="391"/>
      <c r="E56" s="391"/>
    </row>
    <row r="57" spans="1:14" x14ac:dyDescent="0.4">
      <c r="A57" s="29"/>
      <c r="B57" s="33" t="s">
        <v>45</v>
      </c>
      <c r="C57" s="391" t="s">
        <v>46</v>
      </c>
      <c r="D57" s="391"/>
      <c r="E57" s="391"/>
      <c r="K57" s="34"/>
    </row>
    <row r="58" spans="1:14" x14ac:dyDescent="0.4">
      <c r="A58" s="29"/>
      <c r="B58" s="380" t="s">
        <v>719</v>
      </c>
      <c r="C58" s="381"/>
      <c r="D58" s="381"/>
      <c r="E58" s="382"/>
      <c r="K58" s="34"/>
    </row>
    <row r="59" spans="1:14" s="63" customFormat="1" x14ac:dyDescent="0.35">
      <c r="A59" s="35" t="s">
        <v>47</v>
      </c>
      <c r="B59" s="392" t="s">
        <v>48</v>
      </c>
      <c r="C59" s="392"/>
      <c r="D59" s="392"/>
      <c r="E59" s="392"/>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43"/>
      <c r="F63" s="43"/>
      <c r="G63" s="43"/>
      <c r="H63" s="11"/>
      <c r="I63" s="11"/>
      <c r="J63" s="11"/>
      <c r="K63" s="11"/>
      <c r="L63" s="11"/>
      <c r="M63" s="11"/>
      <c r="N63" s="11"/>
    </row>
    <row r="64" spans="1:14" x14ac:dyDescent="0.4">
      <c r="A64" s="9"/>
      <c r="B64" s="11"/>
      <c r="C64" s="11"/>
      <c r="D64" s="11"/>
      <c r="E64" s="43"/>
      <c r="F64" s="43"/>
      <c r="G64" s="43"/>
      <c r="H64" s="11"/>
      <c r="I64" s="11"/>
      <c r="J64" s="11"/>
      <c r="K64" s="11"/>
      <c r="L64" s="11"/>
      <c r="M64" s="11"/>
      <c r="N64" s="11"/>
    </row>
    <row r="65" spans="1:15" x14ac:dyDescent="0.4">
      <c r="A65" s="9"/>
      <c r="B65" s="17" t="s">
        <v>52</v>
      </c>
      <c r="C65" s="19" t="s">
        <v>724</v>
      </c>
      <c r="D65" s="15"/>
      <c r="E65" s="118"/>
      <c r="F65" s="44"/>
      <c r="G65" s="44"/>
      <c r="H65" s="15"/>
      <c r="I65" s="15"/>
      <c r="J65" s="15"/>
      <c r="K65" s="15"/>
      <c r="L65" s="15"/>
      <c r="M65" s="15"/>
      <c r="N65" s="15"/>
    </row>
    <row r="66" spans="1:15" x14ac:dyDescent="0.4">
      <c r="A66" s="9"/>
      <c r="B66" s="15"/>
      <c r="C66" s="15"/>
      <c r="D66" s="15"/>
      <c r="E66" s="15"/>
      <c r="F66" s="15"/>
      <c r="G66" s="15"/>
      <c r="H66" s="15"/>
      <c r="I66" s="15"/>
      <c r="J66" s="15"/>
      <c r="K66" s="15"/>
      <c r="L66" s="15"/>
      <c r="M66" s="15"/>
      <c r="N66" s="15"/>
    </row>
    <row r="67" spans="1:15" x14ac:dyDescent="0.4">
      <c r="A67" s="9"/>
      <c r="B67" s="365" t="s">
        <v>53</v>
      </c>
      <c r="C67" s="366" t="s">
        <v>720</v>
      </c>
      <c r="D67" s="366" t="s">
        <v>271</v>
      </c>
      <c r="E67" s="403" t="s">
        <v>232</v>
      </c>
      <c r="F67" s="395" t="s">
        <v>862</v>
      </c>
      <c r="G67" s="396"/>
      <c r="H67" s="397"/>
      <c r="I67" s="398" t="s">
        <v>863</v>
      </c>
      <c r="J67" s="398"/>
      <c r="K67" s="398"/>
      <c r="L67" s="398" t="s">
        <v>56</v>
      </c>
      <c r="M67" s="398"/>
      <c r="N67" s="398"/>
    </row>
    <row r="68" spans="1:15"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5" x14ac:dyDescent="0.4">
      <c r="A69" s="2"/>
      <c r="B69" s="17" t="s">
        <v>103</v>
      </c>
      <c r="C69" s="111">
        <v>28.5</v>
      </c>
      <c r="D69" s="45">
        <v>19.5</v>
      </c>
      <c r="E69" s="45">
        <v>18.55</v>
      </c>
      <c r="F69" s="45">
        <v>21.6</v>
      </c>
      <c r="G69" s="45">
        <v>30</v>
      </c>
      <c r="H69" s="45">
        <v>16.25</v>
      </c>
      <c r="I69" s="45">
        <v>12</v>
      </c>
      <c r="J69" s="45">
        <v>23</v>
      </c>
      <c r="K69" s="45">
        <v>12</v>
      </c>
      <c r="L69" s="45">
        <v>16.7</v>
      </c>
      <c r="M69" s="45">
        <v>16.7</v>
      </c>
      <c r="N69" s="45">
        <v>16.7</v>
      </c>
    </row>
    <row r="70" spans="1:15" ht="25.65" x14ac:dyDescent="0.4">
      <c r="A70" s="2"/>
      <c r="B70" s="17" t="s">
        <v>627</v>
      </c>
      <c r="C70" s="111">
        <v>10792.5</v>
      </c>
      <c r="D70" s="111">
        <v>11623.9</v>
      </c>
      <c r="E70" s="45">
        <v>11928.75</v>
      </c>
      <c r="F70" s="45">
        <v>11623.9</v>
      </c>
      <c r="G70" s="45">
        <v>11760.04</v>
      </c>
      <c r="H70" s="45">
        <v>10004.549999999999</v>
      </c>
      <c r="I70" s="45">
        <v>8597.75</v>
      </c>
      <c r="J70" s="45">
        <v>12430.5</v>
      </c>
      <c r="K70" s="45">
        <v>7511.1</v>
      </c>
      <c r="L70" s="45">
        <v>14690.7</v>
      </c>
      <c r="M70" s="45">
        <v>15431.75</v>
      </c>
      <c r="N70" s="45">
        <v>8055.8</v>
      </c>
    </row>
    <row r="71" spans="1:15" x14ac:dyDescent="0.4">
      <c r="A71" s="2"/>
      <c r="B71" s="401" t="s">
        <v>94</v>
      </c>
      <c r="C71" s="459"/>
      <c r="D71" s="459"/>
      <c r="E71" s="401"/>
      <c r="F71" s="401"/>
      <c r="G71" s="401"/>
      <c r="H71" s="401"/>
      <c r="I71" s="401"/>
      <c r="J71" s="401"/>
      <c r="K71" s="401"/>
      <c r="L71" s="401"/>
      <c r="M71" s="401"/>
      <c r="N71" s="401"/>
    </row>
    <row r="72" spans="1:15" x14ac:dyDescent="0.4">
      <c r="A72" s="2"/>
      <c r="B72" s="359" t="s">
        <v>63</v>
      </c>
      <c r="C72" s="359"/>
      <c r="D72" s="359"/>
      <c r="E72" s="359"/>
      <c r="F72" s="359"/>
      <c r="G72" s="359"/>
      <c r="H72" s="359"/>
      <c r="I72" s="359"/>
      <c r="J72" s="359"/>
      <c r="K72" s="359"/>
      <c r="L72" s="359"/>
      <c r="M72" s="359"/>
      <c r="N72" s="359"/>
    </row>
    <row r="73" spans="1:15" s="1" customFormat="1" x14ac:dyDescent="0.4">
      <c r="B73" s="359" t="s">
        <v>64</v>
      </c>
      <c r="C73" s="359"/>
      <c r="D73" s="359"/>
      <c r="E73" s="359"/>
      <c r="F73" s="359"/>
      <c r="G73" s="359"/>
      <c r="H73" s="359"/>
      <c r="I73" s="359"/>
      <c r="J73" s="359"/>
      <c r="K73" s="359"/>
      <c r="L73" s="359"/>
      <c r="M73" s="359"/>
      <c r="N73" s="359"/>
    </row>
    <row r="74" spans="1:15" x14ac:dyDescent="0.4">
      <c r="A74" s="2"/>
      <c r="B74" s="359" t="s">
        <v>358</v>
      </c>
      <c r="C74" s="359"/>
      <c r="D74" s="359"/>
      <c r="E74" s="359"/>
      <c r="F74" s="359"/>
      <c r="G74" s="359"/>
      <c r="H74" s="359"/>
      <c r="I74" s="359"/>
      <c r="J74" s="359"/>
      <c r="K74" s="359"/>
      <c r="L74" s="359"/>
      <c r="M74" s="359"/>
      <c r="N74" s="359"/>
      <c r="O74" s="8" t="s">
        <v>693</v>
      </c>
    </row>
    <row r="75" spans="1:15" x14ac:dyDescent="0.4">
      <c r="A75" s="2"/>
      <c r="B75" s="359" t="s">
        <v>65</v>
      </c>
      <c r="C75" s="359"/>
      <c r="D75" s="359"/>
      <c r="E75" s="359"/>
      <c r="F75" s="359"/>
      <c r="G75" s="359"/>
      <c r="H75" s="359"/>
      <c r="I75" s="359"/>
      <c r="J75" s="359"/>
      <c r="K75" s="359"/>
      <c r="L75" s="359"/>
      <c r="M75" s="359"/>
      <c r="N75" s="359"/>
    </row>
    <row r="76" spans="1:15" x14ac:dyDescent="0.4">
      <c r="A76" s="2"/>
      <c r="B76" s="49"/>
      <c r="C76" s="49"/>
      <c r="D76" s="49"/>
      <c r="E76" s="49"/>
      <c r="F76" s="49"/>
      <c r="G76" s="13"/>
      <c r="H76" s="13"/>
      <c r="I76" s="13"/>
      <c r="J76" s="13"/>
      <c r="K76" s="13"/>
      <c r="L76" s="13"/>
      <c r="M76" s="13"/>
      <c r="N76" s="13"/>
    </row>
    <row r="77" spans="1:15" x14ac:dyDescent="0.4">
      <c r="A77" s="9">
        <v>13</v>
      </c>
      <c r="B77" s="405" t="s">
        <v>66</v>
      </c>
      <c r="C77" s="406"/>
      <c r="D77" s="406"/>
      <c r="E77" s="406"/>
      <c r="F77" s="406"/>
      <c r="G77" s="376"/>
      <c r="H77" s="11"/>
      <c r="I77" s="11"/>
      <c r="J77" s="11"/>
      <c r="K77" s="11"/>
      <c r="L77" s="11"/>
      <c r="M77" s="11"/>
      <c r="N77" s="11"/>
    </row>
    <row r="78" spans="1:15" x14ac:dyDescent="0.4">
      <c r="A78" s="9"/>
      <c r="C78" s="15"/>
      <c r="D78" s="15"/>
      <c r="E78" s="15"/>
      <c r="F78" s="15"/>
      <c r="G78" s="15"/>
      <c r="H78" s="15"/>
      <c r="I78" s="15"/>
      <c r="J78" s="15"/>
      <c r="K78" s="15"/>
      <c r="L78" s="15"/>
      <c r="M78" s="15"/>
      <c r="N78" s="15"/>
    </row>
    <row r="79" spans="1:15" ht="102.5" x14ac:dyDescent="0.4">
      <c r="A79" s="2"/>
      <c r="B79" s="50" t="s">
        <v>67</v>
      </c>
      <c r="C79" s="18" t="s">
        <v>68</v>
      </c>
      <c r="D79" s="18" t="s">
        <v>69</v>
      </c>
      <c r="E79" s="18" t="s">
        <v>218</v>
      </c>
      <c r="F79" s="18" t="s">
        <v>71</v>
      </c>
      <c r="G79" s="18" t="s">
        <v>107</v>
      </c>
      <c r="H79" s="13"/>
      <c r="I79" s="13"/>
      <c r="J79" s="13"/>
      <c r="K79" s="13"/>
      <c r="L79" s="13"/>
      <c r="M79" s="13"/>
      <c r="N79" s="13"/>
    </row>
    <row r="80" spans="1:15" ht="12.7" customHeight="1" x14ac:dyDescent="0.35">
      <c r="A80" s="2"/>
      <c r="B80" s="394" t="s">
        <v>72</v>
      </c>
      <c r="C80" s="3" t="s">
        <v>726</v>
      </c>
      <c r="D80" s="65">
        <v>4.8099999999999996</v>
      </c>
      <c r="E80" s="52">
        <v>5.1100000000000003</v>
      </c>
      <c r="F80" s="52">
        <v>1.61</v>
      </c>
      <c r="G80" s="52">
        <v>3.52</v>
      </c>
      <c r="H80" s="53"/>
      <c r="I80" s="53"/>
      <c r="J80" s="53"/>
      <c r="K80" s="53"/>
      <c r="L80" s="53"/>
      <c r="M80" s="53"/>
      <c r="N80" s="53"/>
    </row>
    <row r="81" spans="1:14" x14ac:dyDescent="0.4">
      <c r="A81" s="2"/>
      <c r="B81" s="394"/>
      <c r="C81" s="3" t="s">
        <v>73</v>
      </c>
      <c r="D81" s="54"/>
      <c r="E81" s="52"/>
      <c r="F81" s="52"/>
      <c r="G81" s="52"/>
      <c r="H81" s="53"/>
      <c r="I81" s="53"/>
      <c r="J81" s="53"/>
      <c r="K81" s="53"/>
      <c r="L81" s="53"/>
      <c r="M81" s="53"/>
      <c r="N81" s="53"/>
    </row>
    <row r="82" spans="1:14" x14ac:dyDescent="0.4">
      <c r="A82" s="2"/>
      <c r="B82" s="394"/>
      <c r="C82" s="3" t="s">
        <v>74</v>
      </c>
      <c r="D82" s="76"/>
      <c r="E82" s="52"/>
      <c r="F82" s="52"/>
      <c r="G82" s="52"/>
      <c r="H82" s="53"/>
      <c r="I82" s="53"/>
      <c r="J82" s="53"/>
      <c r="K82" s="53"/>
      <c r="L82" s="53"/>
      <c r="M82" s="53"/>
      <c r="N82" s="53"/>
    </row>
    <row r="83" spans="1:14" x14ac:dyDescent="0.35">
      <c r="A83" s="2"/>
      <c r="B83" s="394" t="s">
        <v>75</v>
      </c>
      <c r="C83" s="3" t="s">
        <v>726</v>
      </c>
      <c r="D83" s="77">
        <v>5.54</v>
      </c>
      <c r="E83" s="55">
        <f>F69/E80</f>
        <v>4.227005870841487</v>
      </c>
      <c r="F83" s="55">
        <f>L69/F80</f>
        <v>10.372670807453416</v>
      </c>
      <c r="G83" s="55">
        <f>L69/G80</f>
        <v>4.7443181818181817</v>
      </c>
      <c r="H83" s="53"/>
      <c r="I83" s="53"/>
      <c r="J83" s="53"/>
      <c r="K83" s="53"/>
      <c r="L83" s="53"/>
      <c r="M83" s="53"/>
      <c r="N83" s="53"/>
    </row>
    <row r="84" spans="1:14" x14ac:dyDescent="0.4">
      <c r="A84" s="2"/>
      <c r="B84" s="394"/>
      <c r="C84" s="3" t="s">
        <v>73</v>
      </c>
      <c r="D84" s="54"/>
      <c r="E84" s="55"/>
      <c r="F84" s="52"/>
      <c r="G84" s="52"/>
      <c r="H84" s="53"/>
      <c r="I84" s="53"/>
      <c r="J84" s="53"/>
      <c r="K84" s="53"/>
      <c r="L84" s="53"/>
      <c r="M84" s="53"/>
      <c r="N84" s="53"/>
    </row>
    <row r="85" spans="1:14" x14ac:dyDescent="0.4">
      <c r="A85" s="2"/>
      <c r="B85" s="394"/>
      <c r="C85" s="3" t="s">
        <v>74</v>
      </c>
      <c r="D85" s="76"/>
      <c r="E85" s="55"/>
      <c r="F85" s="52"/>
      <c r="G85" s="52"/>
      <c r="H85" s="53"/>
      <c r="I85" s="53"/>
      <c r="J85" s="53"/>
      <c r="K85" s="53"/>
      <c r="L85" s="53"/>
      <c r="M85" s="53"/>
      <c r="N85" s="53"/>
    </row>
    <row r="86" spans="1:14" x14ac:dyDescent="0.35">
      <c r="A86" s="2"/>
      <c r="B86" s="394" t="s">
        <v>76</v>
      </c>
      <c r="C86" s="3" t="s">
        <v>726</v>
      </c>
      <c r="D86" s="65">
        <v>12.28</v>
      </c>
      <c r="E86" s="55">
        <f>16050011/146820371*100</f>
        <v>10.931733035874156</v>
      </c>
      <c r="F86" s="52">
        <v>4.25</v>
      </c>
      <c r="G86" s="52">
        <v>8.51</v>
      </c>
      <c r="H86" s="53"/>
      <c r="I86" s="53"/>
      <c r="J86" s="53"/>
      <c r="K86" s="53"/>
      <c r="L86" s="53"/>
      <c r="M86" s="53"/>
      <c r="N86" s="53"/>
    </row>
    <row r="87" spans="1:14" x14ac:dyDescent="0.4">
      <c r="A87" s="2"/>
      <c r="B87" s="394"/>
      <c r="C87" s="3" t="s">
        <v>73</v>
      </c>
      <c r="D87" s="54"/>
      <c r="E87" s="55"/>
      <c r="F87" s="52"/>
      <c r="G87" s="52"/>
      <c r="H87" s="53"/>
      <c r="I87" s="53"/>
      <c r="J87" s="53"/>
      <c r="K87" s="53"/>
      <c r="L87" s="53"/>
      <c r="M87" s="53"/>
      <c r="N87" s="53"/>
    </row>
    <row r="88" spans="1:14" x14ac:dyDescent="0.4">
      <c r="A88" s="2"/>
      <c r="B88" s="394"/>
      <c r="C88" s="3" t="s">
        <v>74</v>
      </c>
      <c r="D88" s="76"/>
      <c r="E88" s="55"/>
      <c r="F88" s="52"/>
      <c r="G88" s="52"/>
      <c r="H88" s="53"/>
      <c r="I88" s="53"/>
      <c r="J88" s="53"/>
      <c r="K88" s="57"/>
      <c r="L88" s="53"/>
      <c r="M88" s="53"/>
      <c r="N88" s="53"/>
    </row>
    <row r="89" spans="1:14" x14ac:dyDescent="0.35">
      <c r="A89" s="2"/>
      <c r="B89" s="394" t="s">
        <v>77</v>
      </c>
      <c r="C89" s="3" t="s">
        <v>726</v>
      </c>
      <c r="D89" s="65">
        <v>39.18</v>
      </c>
      <c r="E89" s="55">
        <f>146820371/4237500</f>
        <v>34.647875162241888</v>
      </c>
      <c r="F89" s="52">
        <v>37.85</v>
      </c>
      <c r="G89" s="52">
        <v>41.37</v>
      </c>
      <c r="H89" s="53"/>
      <c r="I89" s="53"/>
      <c r="J89" s="53"/>
      <c r="K89" s="53"/>
      <c r="L89" s="53"/>
      <c r="M89" s="53"/>
      <c r="N89" s="53"/>
    </row>
    <row r="90" spans="1:14" x14ac:dyDescent="0.4">
      <c r="A90" s="2"/>
      <c r="B90" s="394"/>
      <c r="C90" s="3" t="s">
        <v>73</v>
      </c>
      <c r="D90" s="54"/>
      <c r="E90" s="52"/>
      <c r="F90" s="52"/>
      <c r="G90" s="52"/>
      <c r="H90" s="53"/>
      <c r="I90" s="53"/>
      <c r="J90" s="53"/>
      <c r="K90" s="53"/>
      <c r="L90" s="53"/>
      <c r="M90" s="53"/>
      <c r="N90" s="53"/>
    </row>
    <row r="91" spans="1:14" x14ac:dyDescent="0.4">
      <c r="A91" s="2"/>
      <c r="B91" s="411"/>
      <c r="C91" s="3" t="s">
        <v>74</v>
      </c>
      <c r="D91" s="76"/>
      <c r="E91" s="52"/>
      <c r="F91" s="165"/>
      <c r="G91" s="165"/>
      <c r="H91" s="53"/>
      <c r="I91" s="53"/>
      <c r="J91" s="53"/>
      <c r="K91" s="53"/>
      <c r="L91" s="53"/>
      <c r="M91" s="53"/>
      <c r="N91" s="53"/>
    </row>
    <row r="92" spans="1:14" s="1" customFormat="1" x14ac:dyDescent="0.4">
      <c r="B92" s="412"/>
      <c r="C92" s="413"/>
      <c r="D92" s="413"/>
      <c r="E92" s="413"/>
      <c r="F92" s="413"/>
      <c r="G92" s="414"/>
    </row>
    <row r="93" spans="1:14" x14ac:dyDescent="0.4">
      <c r="A93" s="2"/>
      <c r="B93" s="415" t="s">
        <v>725</v>
      </c>
      <c r="C93" s="416"/>
      <c r="D93" s="416"/>
      <c r="E93" s="416"/>
      <c r="F93" s="416"/>
      <c r="G93" s="417"/>
      <c r="H93" s="53"/>
      <c r="I93" s="53"/>
      <c r="J93" s="53"/>
      <c r="K93" s="53"/>
      <c r="L93" s="53"/>
      <c r="M93" s="53"/>
      <c r="N93" s="53"/>
    </row>
    <row r="94" spans="1:14" x14ac:dyDescent="0.4">
      <c r="A94" s="2"/>
      <c r="B94" s="418" t="s">
        <v>85</v>
      </c>
      <c r="C94" s="419"/>
      <c r="D94" s="419"/>
      <c r="E94" s="419"/>
      <c r="F94" s="419"/>
      <c r="G94" s="420"/>
      <c r="H94" s="53"/>
      <c r="I94" s="53"/>
      <c r="J94" s="53"/>
      <c r="K94" s="53"/>
      <c r="L94" s="53"/>
      <c r="M94" s="53"/>
      <c r="N94" s="53"/>
    </row>
    <row r="95" spans="1:14" x14ac:dyDescent="0.4">
      <c r="A95" s="2"/>
      <c r="B95" s="363"/>
      <c r="C95" s="368"/>
      <c r="D95" s="368"/>
      <c r="E95" s="368"/>
      <c r="F95" s="368"/>
      <c r="G95" s="369"/>
      <c r="H95" s="53"/>
      <c r="I95" s="53"/>
      <c r="J95" s="53"/>
      <c r="K95" s="53"/>
      <c r="L95" s="53"/>
      <c r="M95" s="53"/>
      <c r="N95" s="53"/>
    </row>
    <row r="96" spans="1:14" x14ac:dyDescent="0.4">
      <c r="C96" s="407"/>
      <c r="D96" s="407"/>
      <c r="E96" s="407"/>
      <c r="F96" s="407"/>
      <c r="G96" s="407"/>
      <c r="H96" s="53"/>
      <c r="I96" s="53"/>
    </row>
    <row r="97" spans="1:8" x14ac:dyDescent="0.4">
      <c r="A97" s="9">
        <v>14</v>
      </c>
      <c r="B97" s="61" t="s">
        <v>78</v>
      </c>
      <c r="C97" s="356" t="s">
        <v>41</v>
      </c>
      <c r="D97" s="357"/>
      <c r="E97" s="357"/>
      <c r="F97" s="357"/>
      <c r="G97" s="408"/>
    </row>
    <row r="98" spans="1:8" x14ac:dyDescent="0.4">
      <c r="A98" s="23"/>
      <c r="C98" s="69"/>
      <c r="D98" s="69"/>
      <c r="E98" s="69"/>
      <c r="F98" s="69"/>
      <c r="G98" s="69"/>
    </row>
    <row r="99" spans="1:8" x14ac:dyDescent="0.4">
      <c r="C99" s="69"/>
      <c r="D99" s="69"/>
      <c r="E99" s="69"/>
      <c r="F99" s="69"/>
      <c r="G99" s="69"/>
    </row>
    <row r="101" spans="1:8" x14ac:dyDescent="0.4">
      <c r="B101" s="409" t="s">
        <v>721</v>
      </c>
      <c r="C101" s="410"/>
      <c r="D101" s="410"/>
      <c r="E101" s="410"/>
      <c r="F101" s="410"/>
      <c r="G101" s="410"/>
      <c r="H101" s="410"/>
    </row>
    <row r="106" spans="1:8" x14ac:dyDescent="0.4">
      <c r="D106" s="107"/>
      <c r="E106" s="107"/>
    </row>
    <row r="107" spans="1:8" x14ac:dyDescent="0.4">
      <c r="E107" s="107"/>
    </row>
  </sheetData>
  <sheetProtection password="DB00" sheet="1" objects="1" scenarios="1"/>
  <mergeCells count="58">
    <mergeCell ref="C97:G97"/>
    <mergeCell ref="B101:H101"/>
    <mergeCell ref="B89:B91"/>
    <mergeCell ref="B92:G92"/>
    <mergeCell ref="B93:G93"/>
    <mergeCell ref="B94:G94"/>
    <mergeCell ref="B95:G95"/>
    <mergeCell ref="C96:G96"/>
    <mergeCell ref="B86:B88"/>
    <mergeCell ref="F67:H67"/>
    <mergeCell ref="I67:K67"/>
    <mergeCell ref="L67:N67"/>
    <mergeCell ref="B71:N71"/>
    <mergeCell ref="B72:N72"/>
    <mergeCell ref="B73:N73"/>
    <mergeCell ref="B74:N74"/>
    <mergeCell ref="B75:N75"/>
    <mergeCell ref="B77:G77"/>
    <mergeCell ref="B80:B82"/>
    <mergeCell ref="B83:B85"/>
    <mergeCell ref="C57:E57"/>
    <mergeCell ref="B58:E58"/>
    <mergeCell ref="B59:E59"/>
    <mergeCell ref="C61:E61"/>
    <mergeCell ref="B67:B68"/>
    <mergeCell ref="C67:C68"/>
    <mergeCell ref="D67:D68"/>
    <mergeCell ref="E67:E68"/>
    <mergeCell ref="C56:E56"/>
    <mergeCell ref="B39:C39"/>
    <mergeCell ref="B42:E42"/>
    <mergeCell ref="C43:E43"/>
    <mergeCell ref="C44:E44"/>
    <mergeCell ref="C45:E45"/>
    <mergeCell ref="B46:E46"/>
    <mergeCell ref="B48:E48"/>
    <mergeCell ref="B51:E51"/>
    <mergeCell ref="B53:E53"/>
    <mergeCell ref="B54:B55"/>
    <mergeCell ref="C54:E55"/>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07"/>
  <sheetViews>
    <sheetView topLeftCell="A79" workbookViewId="0">
      <selection activeCell="D86" sqref="D86"/>
    </sheetView>
  </sheetViews>
  <sheetFormatPr defaultColWidth="8.84375" defaultRowHeight="13.25" x14ac:dyDescent="0.4"/>
  <cols>
    <col min="1" max="1" width="11.07421875" style="8" customWidth="1"/>
    <col min="2" max="2" width="40.84375" style="8" customWidth="1"/>
    <col min="3" max="3" width="33.53515625" style="8" customWidth="1"/>
    <col min="4" max="4" width="14.07421875" style="8" customWidth="1"/>
    <col min="5" max="5" width="14.53515625" style="8" customWidth="1"/>
    <col min="6" max="6" width="11.3046875" style="8" customWidth="1"/>
    <col min="7" max="7" width="12.69140625" style="8" customWidth="1"/>
    <col min="8" max="16384" width="8.84375" style="8"/>
  </cols>
  <sheetData>
    <row r="1" spans="1:6" x14ac:dyDescent="0.4">
      <c r="A1" s="355" t="s">
        <v>0</v>
      </c>
      <c r="B1" s="355"/>
      <c r="D1" s="1"/>
    </row>
    <row r="3" spans="1:6" x14ac:dyDescent="0.4">
      <c r="A3" s="27" t="s">
        <v>1</v>
      </c>
      <c r="B3" s="3" t="s">
        <v>2</v>
      </c>
      <c r="C3" s="4" t="s">
        <v>700</v>
      </c>
    </row>
    <row r="4" spans="1:6" x14ac:dyDescent="0.4">
      <c r="D4" s="5"/>
    </row>
    <row r="5" spans="1:6" x14ac:dyDescent="0.4">
      <c r="A5" s="403">
        <v>1</v>
      </c>
      <c r="B5" s="267" t="s">
        <v>3</v>
      </c>
      <c r="C5" s="356" t="s">
        <v>702</v>
      </c>
      <c r="D5" s="357"/>
      <c r="E5" s="358"/>
    </row>
    <row r="6" spans="1:6" x14ac:dyDescent="0.4">
      <c r="A6" s="404"/>
      <c r="B6" s="362" t="s">
        <v>5</v>
      </c>
      <c r="C6" s="359"/>
      <c r="D6" s="359"/>
      <c r="E6" s="10"/>
    </row>
    <row r="7" spans="1:6" x14ac:dyDescent="0.4">
      <c r="A7" s="9"/>
      <c r="B7" s="11"/>
      <c r="D7" s="5"/>
    </row>
    <row r="8" spans="1:6" x14ac:dyDescent="0.4">
      <c r="A8" s="398">
        <v>2</v>
      </c>
      <c r="B8" s="267" t="s">
        <v>6</v>
      </c>
      <c r="C8" s="12" t="s">
        <v>701</v>
      </c>
      <c r="D8" s="5"/>
    </row>
    <row r="9" spans="1:6" x14ac:dyDescent="0.4">
      <c r="A9" s="398"/>
      <c r="B9" s="361" t="s">
        <v>5</v>
      </c>
      <c r="C9" s="361"/>
      <c r="D9" s="362"/>
    </row>
    <row r="10" spans="1:6" x14ac:dyDescent="0.4">
      <c r="A10" s="9"/>
      <c r="B10" s="11"/>
      <c r="D10" s="5"/>
    </row>
    <row r="11" spans="1:6" ht="25.55" customHeight="1" x14ac:dyDescent="0.4">
      <c r="A11" s="398">
        <v>3</v>
      </c>
      <c r="B11" s="267" t="s">
        <v>7</v>
      </c>
      <c r="C11" s="458" t="s">
        <v>1108</v>
      </c>
      <c r="D11" s="458"/>
      <c r="E11" s="458"/>
      <c r="F11" s="458"/>
    </row>
    <row r="12" spans="1:6" x14ac:dyDescent="0.4">
      <c r="A12" s="398"/>
      <c r="B12" s="362" t="s">
        <v>5</v>
      </c>
      <c r="C12" s="359"/>
      <c r="D12" s="359"/>
      <c r="E12" s="10"/>
    </row>
    <row r="13" spans="1:6" x14ac:dyDescent="0.4">
      <c r="A13" s="9"/>
      <c r="B13" s="11"/>
      <c r="D13" s="5"/>
    </row>
    <row r="14" spans="1:6" x14ac:dyDescent="0.4">
      <c r="A14" s="398">
        <v>4</v>
      </c>
      <c r="B14" s="3" t="s">
        <v>9</v>
      </c>
      <c r="C14" s="4" t="s">
        <v>1137</v>
      </c>
      <c r="D14" s="5"/>
    </row>
    <row r="15" spans="1:6" x14ac:dyDescent="0.4">
      <c r="A15" s="398"/>
      <c r="B15" s="363" t="s">
        <v>10</v>
      </c>
      <c r="C15" s="364"/>
      <c r="D15" s="5"/>
    </row>
    <row r="16" spans="1:6" x14ac:dyDescent="0.4">
      <c r="A16" s="9"/>
      <c r="D16" s="5"/>
    </row>
    <row r="17" spans="1:14" x14ac:dyDescent="0.4">
      <c r="A17" s="398">
        <v>5</v>
      </c>
      <c r="B17" s="365" t="s">
        <v>1082</v>
      </c>
      <c r="C17" s="366"/>
      <c r="D17" s="366"/>
      <c r="E17" s="366"/>
      <c r="F17" s="11"/>
      <c r="G17" s="11"/>
      <c r="H17" s="11"/>
      <c r="I17" s="11"/>
      <c r="J17" s="13"/>
      <c r="K17" s="13"/>
      <c r="L17" s="13"/>
      <c r="M17" s="13"/>
      <c r="N17" s="13"/>
    </row>
    <row r="18" spans="1:14" x14ac:dyDescent="0.4">
      <c r="A18" s="398"/>
      <c r="B18" s="14" t="s">
        <v>12</v>
      </c>
      <c r="C18" s="367" t="s">
        <v>13</v>
      </c>
      <c r="D18" s="367"/>
      <c r="E18" s="367"/>
      <c r="F18" s="15"/>
      <c r="G18" s="13"/>
      <c r="H18" s="13"/>
      <c r="I18" s="13"/>
      <c r="J18" s="13"/>
      <c r="K18" s="13"/>
      <c r="L18" s="13"/>
      <c r="M18" s="13"/>
      <c r="N18" s="13"/>
    </row>
    <row r="19" spans="1:14" ht="25.65" x14ac:dyDescent="0.4">
      <c r="A19" s="398"/>
      <c r="B19" s="14" t="s">
        <v>1124</v>
      </c>
      <c r="C19" s="354" t="s">
        <v>13</v>
      </c>
      <c r="D19" s="354"/>
      <c r="E19" s="354"/>
      <c r="F19" s="15"/>
      <c r="G19" s="13"/>
      <c r="I19" s="13"/>
      <c r="J19" s="13"/>
      <c r="K19" s="13"/>
      <c r="L19" s="13"/>
      <c r="M19" s="13"/>
      <c r="N19" s="13"/>
    </row>
    <row r="20" spans="1:14" x14ac:dyDescent="0.4">
      <c r="A20" s="398"/>
      <c r="B20" s="14" t="s">
        <v>605</v>
      </c>
      <c r="C20" s="354" t="s">
        <v>13</v>
      </c>
      <c r="D20" s="354"/>
      <c r="E20" s="354"/>
      <c r="F20" s="15"/>
      <c r="G20" s="13"/>
      <c r="H20" s="13"/>
      <c r="I20" s="13"/>
      <c r="J20" s="13"/>
      <c r="K20" s="13"/>
      <c r="L20" s="13"/>
      <c r="M20" s="13"/>
      <c r="N20" s="13"/>
    </row>
    <row r="21" spans="1:14" x14ac:dyDescent="0.4">
      <c r="A21" s="398"/>
      <c r="B21" s="14" t="s">
        <v>15</v>
      </c>
      <c r="C21" s="354" t="s">
        <v>13</v>
      </c>
      <c r="D21" s="354"/>
      <c r="E21" s="354"/>
      <c r="F21" s="15"/>
      <c r="G21" s="13"/>
      <c r="H21" s="13"/>
      <c r="I21" s="13"/>
      <c r="J21" s="13"/>
      <c r="K21" s="13"/>
      <c r="L21" s="13"/>
      <c r="M21" s="13"/>
      <c r="N21" s="13"/>
    </row>
    <row r="22" spans="1:14" x14ac:dyDescent="0.4">
      <c r="A22" s="398"/>
      <c r="B22" s="16" t="s">
        <v>16</v>
      </c>
      <c r="C22" s="354" t="s">
        <v>13</v>
      </c>
      <c r="D22" s="354"/>
      <c r="E22" s="354"/>
      <c r="F22" s="15"/>
      <c r="G22" s="13"/>
      <c r="H22" s="13"/>
      <c r="I22" s="13"/>
      <c r="J22" s="13"/>
      <c r="K22" s="13"/>
      <c r="L22" s="13"/>
      <c r="M22" s="13"/>
      <c r="N22" s="13"/>
    </row>
    <row r="23" spans="1:14" x14ac:dyDescent="0.4">
      <c r="A23" s="398"/>
      <c r="B23" s="363" t="s">
        <v>559</v>
      </c>
      <c r="C23" s="368"/>
      <c r="D23" s="368"/>
      <c r="E23" s="36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398">
        <v>6</v>
      </c>
      <c r="B26" s="365" t="s">
        <v>1083</v>
      </c>
      <c r="C26" s="365"/>
      <c r="D26" s="365"/>
      <c r="E26" s="365"/>
      <c r="F26" s="11"/>
      <c r="G26" s="11"/>
      <c r="H26" s="13"/>
      <c r="I26" s="11"/>
      <c r="J26" s="11"/>
    </row>
    <row r="27" spans="1:14" x14ac:dyDescent="0.4">
      <c r="A27" s="398"/>
      <c r="B27" s="370" t="s">
        <v>19</v>
      </c>
      <c r="C27" s="371"/>
      <c r="D27" s="371"/>
      <c r="E27" s="372"/>
      <c r="F27" s="15"/>
    </row>
    <row r="28" spans="1:14" x14ac:dyDescent="0.4">
      <c r="A28" s="398"/>
      <c r="B28" s="17" t="s">
        <v>20</v>
      </c>
      <c r="C28" s="18" t="s">
        <v>202</v>
      </c>
      <c r="D28" s="18" t="s">
        <v>22</v>
      </c>
      <c r="E28" s="18" t="s">
        <v>23</v>
      </c>
      <c r="F28" s="15"/>
    </row>
    <row r="29" spans="1:14" ht="12.7" customHeight="1" x14ac:dyDescent="0.4">
      <c r="A29" s="398"/>
      <c r="B29" s="19" t="s">
        <v>24</v>
      </c>
      <c r="C29" s="20">
        <v>910.28</v>
      </c>
      <c r="D29" s="101">
        <v>988.39</v>
      </c>
      <c r="E29" s="21">
        <v>1400.22</v>
      </c>
      <c r="F29" s="15"/>
    </row>
    <row r="30" spans="1:14" x14ac:dyDescent="0.4">
      <c r="A30" s="398"/>
      <c r="B30" s="19" t="s">
        <v>25</v>
      </c>
      <c r="C30" s="20">
        <v>250.88</v>
      </c>
      <c r="D30" s="101">
        <v>175.3</v>
      </c>
      <c r="E30" s="21">
        <v>184.62</v>
      </c>
      <c r="F30" s="15"/>
    </row>
    <row r="31" spans="1:14" x14ac:dyDescent="0.4">
      <c r="A31" s="398"/>
      <c r="B31" s="19" t="s">
        <v>26</v>
      </c>
      <c r="C31" s="20">
        <v>137.19999999999999</v>
      </c>
      <c r="D31" s="101">
        <v>137.19999999999999</v>
      </c>
      <c r="E31" s="21">
        <v>137.19999999999999</v>
      </c>
      <c r="F31" s="15"/>
    </row>
    <row r="32" spans="1:14" x14ac:dyDescent="0.4">
      <c r="A32" s="398"/>
      <c r="B32" s="19" t="s">
        <v>27</v>
      </c>
      <c r="C32" s="20">
        <v>707.71</v>
      </c>
      <c r="D32" s="101">
        <v>855.57</v>
      </c>
      <c r="E32" s="21">
        <v>1012.75</v>
      </c>
      <c r="F32" s="15"/>
    </row>
    <row r="33" spans="1:10" x14ac:dyDescent="0.4">
      <c r="A33" s="398"/>
      <c r="B33" s="363" t="s">
        <v>709</v>
      </c>
      <c r="C33" s="368"/>
      <c r="D33" s="368"/>
      <c r="E33" s="369"/>
      <c r="F33" s="15"/>
    </row>
    <row r="34" spans="1:10" x14ac:dyDescent="0.4">
      <c r="A34" s="9"/>
      <c r="B34" s="13"/>
      <c r="C34" s="15"/>
      <c r="D34" s="15"/>
      <c r="E34" s="15"/>
      <c r="F34" s="15"/>
    </row>
    <row r="35" spans="1:10" ht="27.75" customHeight="1" x14ac:dyDescent="0.4">
      <c r="A35" s="398">
        <v>7</v>
      </c>
      <c r="B35" s="376" t="s">
        <v>28</v>
      </c>
      <c r="C35" s="365"/>
      <c r="D35" s="365"/>
      <c r="E35" s="365"/>
      <c r="F35" s="11"/>
      <c r="G35" s="11"/>
      <c r="H35" s="11"/>
      <c r="I35" s="11"/>
      <c r="J35" s="11"/>
    </row>
    <row r="36" spans="1:10" x14ac:dyDescent="0.4">
      <c r="A36" s="398"/>
      <c r="B36" s="266" t="s">
        <v>29</v>
      </c>
      <c r="C36" s="20" t="s">
        <v>30</v>
      </c>
      <c r="D36" s="13"/>
      <c r="E36" s="13"/>
      <c r="F36" s="13"/>
    </row>
    <row r="37" spans="1:10" x14ac:dyDescent="0.4">
      <c r="A37" s="398"/>
      <c r="B37" s="266" t="s">
        <v>31</v>
      </c>
      <c r="C37" s="20" t="s">
        <v>30</v>
      </c>
      <c r="D37" s="13"/>
      <c r="E37" s="13"/>
      <c r="F37" s="13"/>
    </row>
    <row r="38" spans="1:10" x14ac:dyDescent="0.4">
      <c r="A38" s="398"/>
      <c r="B38" s="274" t="s">
        <v>32</v>
      </c>
      <c r="C38" s="20" t="s">
        <v>30</v>
      </c>
      <c r="D38" s="13"/>
      <c r="E38" s="13"/>
      <c r="F38" s="13"/>
    </row>
    <row r="39" spans="1:10" x14ac:dyDescent="0.4">
      <c r="A39" s="398"/>
      <c r="B39" s="362" t="s">
        <v>559</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398">
        <v>8</v>
      </c>
      <c r="B42" s="365" t="s">
        <v>1125</v>
      </c>
      <c r="C42" s="365"/>
      <c r="D42" s="365"/>
      <c r="E42" s="365"/>
      <c r="F42" s="11"/>
      <c r="G42" s="11"/>
      <c r="H42" s="11"/>
      <c r="I42" s="11"/>
      <c r="J42" s="11"/>
    </row>
    <row r="43" spans="1:10" x14ac:dyDescent="0.4">
      <c r="A43" s="398"/>
      <c r="B43" s="17" t="s">
        <v>34</v>
      </c>
      <c r="C43" s="373" t="s">
        <v>730</v>
      </c>
      <c r="D43" s="374"/>
      <c r="E43" s="375"/>
      <c r="F43" s="13"/>
    </row>
    <row r="44" spans="1:10" x14ac:dyDescent="0.4">
      <c r="A44" s="398"/>
      <c r="B44" s="17" t="s">
        <v>31</v>
      </c>
      <c r="C44" s="373" t="s">
        <v>730</v>
      </c>
      <c r="D44" s="374"/>
      <c r="E44" s="375"/>
      <c r="F44" s="13"/>
    </row>
    <row r="45" spans="1:10" x14ac:dyDescent="0.4">
      <c r="A45" s="398"/>
      <c r="B45" s="17" t="s">
        <v>32</v>
      </c>
      <c r="C45" s="373" t="s">
        <v>730</v>
      </c>
      <c r="D45" s="374"/>
      <c r="E45" s="375"/>
      <c r="F45" s="13"/>
    </row>
    <row r="46" spans="1:10" x14ac:dyDescent="0.4">
      <c r="A46" s="398"/>
      <c r="B46" s="363" t="s">
        <v>35</v>
      </c>
      <c r="C46" s="368"/>
      <c r="D46" s="368"/>
      <c r="E46" s="369"/>
      <c r="F46" s="13"/>
    </row>
    <row r="47" spans="1:10" x14ac:dyDescent="0.4">
      <c r="A47" s="2"/>
      <c r="D47" s="23"/>
      <c r="E47" s="13"/>
    </row>
    <row r="48" spans="1:10" x14ac:dyDescent="0.4">
      <c r="A48" s="398">
        <v>9</v>
      </c>
      <c r="B48" s="376" t="s">
        <v>36</v>
      </c>
      <c r="C48" s="365"/>
      <c r="D48" s="365"/>
      <c r="E48" s="365"/>
      <c r="F48" s="25"/>
      <c r="G48" s="11"/>
      <c r="H48" s="11"/>
      <c r="I48" s="11"/>
    </row>
    <row r="49" spans="1:14" ht="51.25" x14ac:dyDescent="0.4">
      <c r="A49" s="398"/>
      <c r="B49" s="26" t="s">
        <v>37</v>
      </c>
      <c r="C49" s="27" t="s">
        <v>38</v>
      </c>
      <c r="D49" s="28" t="s">
        <v>39</v>
      </c>
      <c r="E49" s="27" t="s">
        <v>206</v>
      </c>
    </row>
    <row r="50" spans="1:14" ht="132.55000000000001" x14ac:dyDescent="0.4">
      <c r="A50" s="398"/>
      <c r="B50" s="78" t="s">
        <v>307</v>
      </c>
      <c r="C50" s="78" t="s">
        <v>1126</v>
      </c>
      <c r="D50" s="78" t="s">
        <v>703</v>
      </c>
      <c r="E50" s="27" t="s">
        <v>83</v>
      </c>
    </row>
    <row r="51" spans="1:14" x14ac:dyDescent="0.35">
      <c r="A51" s="398"/>
      <c r="B51" s="392" t="s">
        <v>48</v>
      </c>
      <c r="C51" s="392"/>
      <c r="D51" s="392"/>
      <c r="E51" s="392"/>
    </row>
    <row r="52" spans="1:14" x14ac:dyDescent="0.4">
      <c r="A52" s="268"/>
      <c r="B52" s="380"/>
      <c r="C52" s="381"/>
      <c r="D52" s="381"/>
      <c r="E52" s="382"/>
      <c r="F52" s="15"/>
      <c r="G52" s="15"/>
      <c r="H52" s="15"/>
    </row>
    <row r="53" spans="1:14" x14ac:dyDescent="0.4">
      <c r="A53" s="36"/>
      <c r="B53" s="62"/>
      <c r="C53" s="23"/>
      <c r="D53" s="23"/>
      <c r="E53" s="23"/>
      <c r="F53" s="15"/>
      <c r="G53" s="15"/>
      <c r="H53" s="15"/>
      <c r="I53" s="15"/>
    </row>
    <row r="54" spans="1:14" x14ac:dyDescent="0.4">
      <c r="A54" s="398">
        <v>10</v>
      </c>
      <c r="B54" s="376" t="s">
        <v>1085</v>
      </c>
      <c r="C54" s="365"/>
      <c r="D54" s="365"/>
      <c r="E54" s="365"/>
      <c r="F54" s="15"/>
      <c r="G54" s="15"/>
      <c r="H54" s="15"/>
    </row>
    <row r="55" spans="1:14" ht="33.799999999999997" customHeight="1" x14ac:dyDescent="0.4">
      <c r="A55" s="398"/>
      <c r="B55" s="383" t="s">
        <v>43</v>
      </c>
      <c r="C55" s="461" t="s">
        <v>1126</v>
      </c>
      <c r="D55" s="462"/>
      <c r="E55" s="463"/>
      <c r="K55" s="1"/>
    </row>
    <row r="56" spans="1:14" x14ac:dyDescent="0.4">
      <c r="A56" s="398"/>
      <c r="B56" s="384"/>
      <c r="C56" s="464"/>
      <c r="D56" s="465"/>
      <c r="E56" s="466"/>
      <c r="K56" s="1"/>
    </row>
    <row r="57" spans="1:14" ht="41.3" customHeight="1" x14ac:dyDescent="0.4">
      <c r="A57" s="398"/>
      <c r="B57" s="33" t="s">
        <v>44</v>
      </c>
      <c r="C57" s="460" t="s">
        <v>1126</v>
      </c>
      <c r="D57" s="460"/>
      <c r="E57" s="460"/>
    </row>
    <row r="58" spans="1:14" x14ac:dyDescent="0.4">
      <c r="A58" s="398"/>
      <c r="B58" s="33" t="s">
        <v>45</v>
      </c>
      <c r="C58" s="391" t="s">
        <v>46</v>
      </c>
      <c r="D58" s="391"/>
      <c r="E58" s="391"/>
      <c r="K58" s="34"/>
    </row>
    <row r="59" spans="1:14" s="63" customFormat="1" x14ac:dyDescent="0.35">
      <c r="A59" s="398"/>
      <c r="B59" s="392" t="s">
        <v>48</v>
      </c>
      <c r="C59" s="392"/>
      <c r="D59" s="392"/>
      <c r="E59" s="392"/>
    </row>
    <row r="60" spans="1:14" x14ac:dyDescent="0.4">
      <c r="A60" s="40"/>
      <c r="B60" s="41"/>
      <c r="C60" s="42"/>
      <c r="D60" s="42"/>
      <c r="E60" s="42"/>
      <c r="F60" s="42"/>
    </row>
    <row r="61" spans="1:14" x14ac:dyDescent="0.4">
      <c r="A61" s="18">
        <v>11</v>
      </c>
      <c r="B61" s="3" t="s">
        <v>49</v>
      </c>
      <c r="C61" s="393" t="s">
        <v>1037</v>
      </c>
      <c r="D61" s="393"/>
      <c r="E61" s="393"/>
      <c r="F61" s="11"/>
      <c r="G61" s="11"/>
      <c r="H61" s="43"/>
      <c r="I61" s="11"/>
      <c r="J61" s="11"/>
    </row>
    <row r="62" spans="1:14" x14ac:dyDescent="0.4">
      <c r="A62" s="9"/>
      <c r="B62" s="15"/>
      <c r="C62" s="15"/>
      <c r="D62" s="15"/>
      <c r="E62" s="15"/>
      <c r="F62" s="15"/>
      <c r="G62" s="15"/>
      <c r="H62" s="44"/>
      <c r="I62" s="44"/>
      <c r="J62" s="15"/>
    </row>
    <row r="63" spans="1:14" x14ac:dyDescent="0.4">
      <c r="A63" s="398">
        <v>12</v>
      </c>
      <c r="B63" s="275" t="s">
        <v>51</v>
      </c>
      <c r="C63" s="3"/>
      <c r="D63" s="11"/>
      <c r="E63" s="43"/>
      <c r="F63" s="43"/>
      <c r="G63" s="11"/>
      <c r="H63" s="11"/>
      <c r="I63" s="11"/>
      <c r="J63" s="11"/>
      <c r="K63" s="11"/>
      <c r="L63" s="11"/>
      <c r="M63" s="11"/>
      <c r="N63" s="11"/>
    </row>
    <row r="64" spans="1:14" x14ac:dyDescent="0.4">
      <c r="A64" s="398"/>
      <c r="B64" s="275"/>
      <c r="C64" s="3"/>
      <c r="D64" s="11"/>
      <c r="E64" s="43"/>
      <c r="F64" s="43"/>
      <c r="G64" s="43"/>
      <c r="H64" s="11"/>
      <c r="I64" s="11"/>
      <c r="J64" s="11"/>
      <c r="K64" s="11"/>
      <c r="L64" s="11"/>
      <c r="M64" s="11"/>
      <c r="N64" s="11"/>
    </row>
    <row r="65" spans="1:14" x14ac:dyDescent="0.4">
      <c r="A65" s="398"/>
      <c r="B65" s="266" t="s">
        <v>52</v>
      </c>
      <c r="C65" s="19" t="s">
        <v>727</v>
      </c>
      <c r="D65" s="15"/>
      <c r="E65" s="118"/>
      <c r="F65" s="44"/>
      <c r="G65" s="44"/>
      <c r="H65" s="15"/>
      <c r="I65" s="15"/>
      <c r="J65" s="15"/>
      <c r="K65" s="15"/>
      <c r="L65" s="15"/>
      <c r="M65" s="15"/>
      <c r="N65" s="15"/>
    </row>
    <row r="66" spans="1:14" x14ac:dyDescent="0.4">
      <c r="A66" s="398"/>
      <c r="B66" s="15"/>
      <c r="C66" s="15"/>
      <c r="D66" s="15"/>
      <c r="E66" s="15"/>
      <c r="F66" s="15"/>
      <c r="G66" s="15"/>
      <c r="H66" s="15"/>
      <c r="I66" s="15"/>
      <c r="J66" s="15"/>
      <c r="K66" s="15"/>
      <c r="L66" s="15"/>
      <c r="M66" s="15"/>
      <c r="N66" s="15"/>
    </row>
    <row r="67" spans="1:14" x14ac:dyDescent="0.4">
      <c r="A67" s="398"/>
      <c r="B67" s="376" t="s">
        <v>53</v>
      </c>
      <c r="C67" s="366" t="s">
        <v>714</v>
      </c>
      <c r="D67" s="366" t="s">
        <v>271</v>
      </c>
      <c r="E67" s="403" t="s">
        <v>232</v>
      </c>
      <c r="F67" s="395" t="s">
        <v>864</v>
      </c>
      <c r="G67" s="396"/>
      <c r="H67" s="397"/>
      <c r="I67" s="398" t="s">
        <v>865</v>
      </c>
      <c r="J67" s="398"/>
      <c r="K67" s="398"/>
      <c r="L67" s="398" t="s">
        <v>56</v>
      </c>
      <c r="M67" s="398"/>
      <c r="N67" s="398"/>
    </row>
    <row r="68" spans="1:14" ht="38.450000000000003" x14ac:dyDescent="0.4">
      <c r="A68" s="398"/>
      <c r="B68" s="376"/>
      <c r="C68" s="402"/>
      <c r="D68" s="402"/>
      <c r="E68" s="404"/>
      <c r="F68" s="17" t="s">
        <v>57</v>
      </c>
      <c r="G68" s="17" t="s">
        <v>58</v>
      </c>
      <c r="H68" s="17" t="s">
        <v>59</v>
      </c>
      <c r="I68" s="17" t="s">
        <v>60</v>
      </c>
      <c r="J68" s="17" t="s">
        <v>58</v>
      </c>
      <c r="K68" s="17" t="s">
        <v>59</v>
      </c>
      <c r="L68" s="17" t="s">
        <v>60</v>
      </c>
      <c r="M68" s="17" t="s">
        <v>58</v>
      </c>
      <c r="N68" s="17" t="s">
        <v>59</v>
      </c>
    </row>
    <row r="69" spans="1:14" x14ac:dyDescent="0.4">
      <c r="A69" s="398"/>
      <c r="B69" s="266" t="s">
        <v>61</v>
      </c>
      <c r="C69" s="111">
        <v>60</v>
      </c>
      <c r="D69" s="45">
        <v>67.900000000000006</v>
      </c>
      <c r="E69" s="45">
        <v>180.25</v>
      </c>
      <c r="F69" s="45">
        <v>80</v>
      </c>
      <c r="G69" s="45">
        <v>180.25</v>
      </c>
      <c r="H69" s="45">
        <v>57.1</v>
      </c>
      <c r="I69" s="45">
        <v>120</v>
      </c>
      <c r="J69" s="45">
        <v>148</v>
      </c>
      <c r="K69" s="45">
        <v>55.2</v>
      </c>
      <c r="L69" s="45">
        <v>442</v>
      </c>
      <c r="M69" s="45">
        <v>605.25</v>
      </c>
      <c r="N69" s="45">
        <v>67</v>
      </c>
    </row>
    <row r="70" spans="1:14" ht="25.65" x14ac:dyDescent="0.4">
      <c r="A70" s="398"/>
      <c r="B70" s="266" t="s">
        <v>216</v>
      </c>
      <c r="C70" s="111">
        <v>39031.550000000003</v>
      </c>
      <c r="D70" s="45">
        <v>39502.050000000003</v>
      </c>
      <c r="E70" s="45">
        <v>37686.370000000003</v>
      </c>
      <c r="F70" s="45">
        <v>29468.49</v>
      </c>
      <c r="G70" s="45">
        <v>42273.87</v>
      </c>
      <c r="H70" s="45">
        <v>25638.9</v>
      </c>
      <c r="I70" s="46">
        <v>49509.15</v>
      </c>
      <c r="J70" s="46">
        <v>52516.76</v>
      </c>
      <c r="K70" s="46">
        <v>27500.79</v>
      </c>
      <c r="L70" s="45">
        <v>58568.51</v>
      </c>
      <c r="M70" s="45">
        <v>62245.43</v>
      </c>
      <c r="N70" s="45">
        <v>47204.5</v>
      </c>
    </row>
    <row r="71" spans="1:14" x14ac:dyDescent="0.4">
      <c r="A71" s="398"/>
      <c r="B71" s="467" t="s">
        <v>17</v>
      </c>
      <c r="C71" s="459"/>
      <c r="D71" s="459"/>
      <c r="E71" s="401"/>
      <c r="F71" s="401"/>
      <c r="G71" s="401"/>
      <c r="H71" s="401"/>
      <c r="I71" s="401"/>
      <c r="J71" s="401"/>
      <c r="K71" s="401"/>
      <c r="L71" s="401"/>
      <c r="M71" s="401"/>
      <c r="N71" s="401"/>
    </row>
    <row r="72" spans="1:14" x14ac:dyDescent="0.4">
      <c r="A72" s="398"/>
      <c r="B72" s="362" t="s">
        <v>63</v>
      </c>
      <c r="C72" s="359"/>
      <c r="D72" s="359"/>
      <c r="E72" s="359"/>
      <c r="F72" s="359"/>
      <c r="G72" s="359"/>
      <c r="H72" s="359"/>
      <c r="I72" s="359"/>
      <c r="J72" s="359"/>
      <c r="K72" s="359"/>
      <c r="L72" s="359"/>
      <c r="M72" s="359"/>
      <c r="N72" s="359"/>
    </row>
    <row r="73" spans="1:14" s="1" customFormat="1" x14ac:dyDescent="0.4">
      <c r="A73" s="398"/>
      <c r="B73" s="362" t="s">
        <v>64</v>
      </c>
      <c r="C73" s="359"/>
      <c r="D73" s="359"/>
      <c r="E73" s="359"/>
      <c r="F73" s="359"/>
      <c r="G73" s="359"/>
      <c r="H73" s="359"/>
      <c r="I73" s="359"/>
      <c r="J73" s="359"/>
      <c r="K73" s="359"/>
      <c r="L73" s="359"/>
      <c r="M73" s="359"/>
      <c r="N73" s="359"/>
    </row>
    <row r="74" spans="1:14" x14ac:dyDescent="0.4">
      <c r="A74" s="398"/>
      <c r="B74" s="362" t="s">
        <v>358</v>
      </c>
      <c r="C74" s="359"/>
      <c r="D74" s="359"/>
      <c r="E74" s="359"/>
      <c r="F74" s="359"/>
      <c r="G74" s="359"/>
      <c r="H74" s="359"/>
      <c r="I74" s="359"/>
      <c r="J74" s="359"/>
      <c r="K74" s="359"/>
      <c r="L74" s="359"/>
      <c r="M74" s="359"/>
      <c r="N74" s="359"/>
    </row>
    <row r="75" spans="1:14" x14ac:dyDescent="0.4">
      <c r="A75" s="398"/>
      <c r="B75" s="362"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398">
        <v>13</v>
      </c>
      <c r="B77" s="406" t="s">
        <v>66</v>
      </c>
      <c r="C77" s="406"/>
      <c r="D77" s="406"/>
      <c r="E77" s="406"/>
      <c r="F77" s="406"/>
      <c r="G77" s="376"/>
      <c r="H77" s="11"/>
      <c r="I77" s="11"/>
      <c r="J77" s="11"/>
      <c r="K77" s="11"/>
      <c r="L77" s="11"/>
      <c r="M77" s="11"/>
      <c r="N77" s="11"/>
    </row>
    <row r="78" spans="1:14" x14ac:dyDescent="0.4">
      <c r="A78" s="398"/>
      <c r="C78" s="15"/>
      <c r="D78" s="15"/>
      <c r="E78" s="15"/>
      <c r="F78" s="15"/>
      <c r="G78" s="15"/>
      <c r="H78" s="15"/>
      <c r="I78" s="15"/>
      <c r="J78" s="15"/>
      <c r="K78" s="15"/>
      <c r="L78" s="15"/>
      <c r="M78" s="15"/>
      <c r="N78" s="15"/>
    </row>
    <row r="79" spans="1:14" ht="38.450000000000003" x14ac:dyDescent="0.4">
      <c r="A79" s="398"/>
      <c r="B79" s="269" t="s">
        <v>67</v>
      </c>
      <c r="C79" s="18" t="s">
        <v>68</v>
      </c>
      <c r="D79" s="18" t="s">
        <v>1127</v>
      </c>
      <c r="E79" s="18" t="s">
        <v>218</v>
      </c>
      <c r="F79" s="18" t="s">
        <v>71</v>
      </c>
      <c r="G79" s="18" t="s">
        <v>107</v>
      </c>
      <c r="H79" s="13"/>
      <c r="I79" s="13"/>
      <c r="J79" s="13"/>
      <c r="K79" s="13"/>
      <c r="L79" s="13"/>
      <c r="M79" s="13"/>
      <c r="N79" s="13"/>
    </row>
    <row r="80" spans="1:14" ht="12.7" customHeight="1" x14ac:dyDescent="0.35">
      <c r="A80" s="398"/>
      <c r="B80" s="468" t="s">
        <v>72</v>
      </c>
      <c r="C80" s="3" t="s">
        <v>715</v>
      </c>
      <c r="D80" s="65">
        <v>3.41</v>
      </c>
      <c r="E80" s="65">
        <v>12.69</v>
      </c>
      <c r="F80" s="52">
        <v>12.78</v>
      </c>
      <c r="G80" s="66">
        <v>13.46</v>
      </c>
      <c r="H80" s="53"/>
      <c r="I80" s="53"/>
      <c r="J80" s="53"/>
      <c r="K80" s="53"/>
      <c r="L80" s="53"/>
      <c r="M80" s="53"/>
      <c r="N80" s="53"/>
    </row>
    <row r="81" spans="1:14" x14ac:dyDescent="0.4">
      <c r="A81" s="398"/>
      <c r="B81" s="468"/>
      <c r="C81" s="3" t="s">
        <v>73</v>
      </c>
      <c r="D81" s="54"/>
      <c r="E81" s="54"/>
      <c r="F81" s="52"/>
      <c r="G81" s="66"/>
      <c r="H81" s="53"/>
      <c r="I81" s="53"/>
      <c r="J81" s="53"/>
      <c r="K81" s="53"/>
      <c r="L81" s="53"/>
      <c r="M81" s="53"/>
      <c r="N81" s="53"/>
    </row>
    <row r="82" spans="1:14" x14ac:dyDescent="0.4">
      <c r="A82" s="398"/>
      <c r="B82" s="468"/>
      <c r="C82" s="3" t="s">
        <v>74</v>
      </c>
      <c r="D82" s="76"/>
      <c r="E82" s="76"/>
      <c r="F82" s="52"/>
      <c r="G82" s="66"/>
      <c r="H82" s="53"/>
      <c r="I82" s="53"/>
      <c r="J82" s="53"/>
      <c r="K82" s="53"/>
      <c r="L82" s="53"/>
      <c r="M82" s="53"/>
      <c r="N82" s="53"/>
    </row>
    <row r="83" spans="1:14" x14ac:dyDescent="0.35">
      <c r="A83" s="398"/>
      <c r="B83" s="468" t="s">
        <v>75</v>
      </c>
      <c r="C83" s="3" t="s">
        <v>715</v>
      </c>
      <c r="D83" s="77">
        <v>6.25</v>
      </c>
      <c r="E83" s="77">
        <f>F69/E80</f>
        <v>6.3041765169424746</v>
      </c>
      <c r="F83" s="77">
        <f>I69/F80</f>
        <v>9.3896713615023479</v>
      </c>
      <c r="G83" s="70">
        <f>L69/G80</f>
        <v>32.838038632986624</v>
      </c>
      <c r="H83" s="53"/>
      <c r="I83" s="53"/>
      <c r="J83" s="53"/>
      <c r="K83" s="53"/>
      <c r="L83" s="53"/>
      <c r="M83" s="53"/>
      <c r="N83" s="53"/>
    </row>
    <row r="84" spans="1:14" x14ac:dyDescent="0.4">
      <c r="A84" s="398"/>
      <c r="B84" s="468"/>
      <c r="C84" s="3" t="s">
        <v>73</v>
      </c>
      <c r="D84" s="54"/>
      <c r="E84" s="54"/>
      <c r="F84" s="52"/>
      <c r="G84" s="66"/>
      <c r="H84" s="53"/>
      <c r="I84" s="53"/>
      <c r="J84" s="53"/>
      <c r="K84" s="53"/>
      <c r="L84" s="53"/>
      <c r="M84" s="53"/>
      <c r="N84" s="53"/>
    </row>
    <row r="85" spans="1:14" x14ac:dyDescent="0.4">
      <c r="A85" s="398"/>
      <c r="B85" s="468"/>
      <c r="C85" s="3" t="s">
        <v>74</v>
      </c>
      <c r="D85" s="76"/>
      <c r="E85" s="76"/>
      <c r="F85" s="52"/>
      <c r="G85" s="66"/>
      <c r="H85" s="53"/>
      <c r="I85" s="53"/>
      <c r="J85" s="53"/>
      <c r="K85" s="53"/>
      <c r="L85" s="53"/>
      <c r="M85" s="53"/>
      <c r="N85" s="53"/>
    </row>
    <row r="86" spans="1:14" x14ac:dyDescent="0.35">
      <c r="A86" s="398"/>
      <c r="B86" s="468" t="s">
        <v>76</v>
      </c>
      <c r="C86" s="3" t="s">
        <v>715</v>
      </c>
      <c r="D86" s="65">
        <v>10.25</v>
      </c>
      <c r="E86" s="77">
        <f>174.1/844.91*100</f>
        <v>20.605744990590715</v>
      </c>
      <c r="F86" s="52">
        <v>17.66</v>
      </c>
      <c r="G86" s="273">
        <v>16.059999999999999</v>
      </c>
      <c r="H86" s="53"/>
      <c r="I86" s="53"/>
      <c r="J86" s="53"/>
      <c r="K86" s="53"/>
      <c r="L86" s="53"/>
      <c r="M86" s="53"/>
      <c r="N86" s="53"/>
    </row>
    <row r="87" spans="1:14" x14ac:dyDescent="0.4">
      <c r="A87" s="398"/>
      <c r="B87" s="468"/>
      <c r="C87" s="3" t="s">
        <v>73</v>
      </c>
      <c r="D87" s="54"/>
      <c r="E87" s="54"/>
      <c r="F87" s="52"/>
      <c r="G87" s="66"/>
      <c r="H87" s="53"/>
      <c r="I87" s="53"/>
      <c r="J87" s="53"/>
      <c r="K87" s="53"/>
      <c r="L87" s="53"/>
      <c r="M87" s="53"/>
      <c r="N87" s="53"/>
    </row>
    <row r="88" spans="1:14" x14ac:dyDescent="0.4">
      <c r="A88" s="398"/>
      <c r="B88" s="468"/>
      <c r="C88" s="3" t="s">
        <v>74</v>
      </c>
      <c r="D88" s="76"/>
      <c r="E88" s="76"/>
      <c r="F88" s="52"/>
      <c r="G88" s="66"/>
      <c r="H88" s="53"/>
      <c r="I88" s="53"/>
      <c r="J88" s="53"/>
      <c r="K88" s="57"/>
      <c r="L88" s="53"/>
      <c r="M88" s="53"/>
      <c r="N88" s="53"/>
    </row>
    <row r="89" spans="1:14" x14ac:dyDescent="0.35">
      <c r="A89" s="398"/>
      <c r="B89" s="468" t="s">
        <v>77</v>
      </c>
      <c r="C89" s="3" t="s">
        <v>715</v>
      </c>
      <c r="D89" s="65">
        <v>3325.41</v>
      </c>
      <c r="E89" s="77">
        <f>844.91/13.72</f>
        <v>61.582361516034979</v>
      </c>
      <c r="F89" s="52">
        <v>72.36</v>
      </c>
      <c r="G89" s="66">
        <v>83.82</v>
      </c>
      <c r="H89" s="53"/>
      <c r="I89" s="53"/>
      <c r="J89" s="53"/>
      <c r="K89" s="53"/>
      <c r="L89" s="53"/>
      <c r="M89" s="53"/>
      <c r="N89" s="53"/>
    </row>
    <row r="90" spans="1:14" x14ac:dyDescent="0.4">
      <c r="A90" s="398"/>
      <c r="B90" s="468"/>
      <c r="C90" s="3" t="s">
        <v>73</v>
      </c>
      <c r="D90" s="54"/>
      <c r="E90" s="54"/>
      <c r="F90" s="52"/>
      <c r="G90" s="66"/>
      <c r="H90" s="53"/>
      <c r="I90" s="53"/>
      <c r="J90" s="53"/>
      <c r="K90" s="53"/>
      <c r="L90" s="53"/>
      <c r="M90" s="53"/>
      <c r="N90" s="53"/>
    </row>
    <row r="91" spans="1:14" x14ac:dyDescent="0.4">
      <c r="A91" s="398"/>
      <c r="B91" s="470"/>
      <c r="C91" s="3" t="s">
        <v>74</v>
      </c>
      <c r="D91" s="76"/>
      <c r="E91" s="76"/>
      <c r="F91" s="52"/>
      <c r="G91" s="66"/>
      <c r="H91" s="53"/>
      <c r="I91" s="53"/>
      <c r="J91" s="53"/>
      <c r="K91" s="53"/>
      <c r="L91" s="53"/>
      <c r="M91" s="53"/>
      <c r="N91" s="53"/>
    </row>
    <row r="92" spans="1:14" s="1" customFormat="1" x14ac:dyDescent="0.4">
      <c r="A92" s="398"/>
      <c r="B92" s="469"/>
      <c r="C92" s="413"/>
      <c r="D92" s="413"/>
      <c r="E92" s="413"/>
      <c r="F92" s="413"/>
      <c r="G92" s="414"/>
    </row>
    <row r="93" spans="1:14" x14ac:dyDescent="0.4">
      <c r="A93" s="398"/>
      <c r="B93" s="416" t="s">
        <v>716</v>
      </c>
      <c r="C93" s="416"/>
      <c r="D93" s="416"/>
      <c r="E93" s="416"/>
      <c r="F93" s="416"/>
      <c r="G93" s="417"/>
      <c r="H93" s="53"/>
      <c r="I93" s="53"/>
      <c r="J93" s="53"/>
      <c r="K93" s="53"/>
      <c r="L93" s="53"/>
      <c r="M93" s="53"/>
      <c r="N93" s="53"/>
    </row>
    <row r="94" spans="1:14" x14ac:dyDescent="0.4">
      <c r="A94" s="398"/>
      <c r="B94" s="419" t="s">
        <v>85</v>
      </c>
      <c r="C94" s="419"/>
      <c r="D94" s="419"/>
      <c r="E94" s="419"/>
      <c r="F94" s="419"/>
      <c r="G94" s="420"/>
      <c r="H94" s="53"/>
      <c r="I94" s="53"/>
      <c r="J94" s="53"/>
      <c r="K94" s="53"/>
      <c r="L94" s="53"/>
      <c r="M94" s="53"/>
      <c r="N94" s="53"/>
    </row>
    <row r="95" spans="1:14" x14ac:dyDescent="0.4">
      <c r="A95" s="398"/>
      <c r="B95" s="368"/>
      <c r="C95" s="368"/>
      <c r="D95" s="368"/>
      <c r="E95" s="368"/>
      <c r="F95" s="368"/>
      <c r="G95" s="369"/>
      <c r="H95" s="53"/>
      <c r="I95" s="53"/>
      <c r="J95" s="53"/>
      <c r="K95" s="53"/>
      <c r="L95" s="53"/>
      <c r="M95" s="53"/>
      <c r="N95" s="53"/>
    </row>
    <row r="96" spans="1:14" x14ac:dyDescent="0.4">
      <c r="C96" s="407"/>
      <c r="D96" s="407"/>
      <c r="E96" s="407"/>
      <c r="F96" s="407"/>
      <c r="G96" s="407"/>
      <c r="H96" s="53"/>
      <c r="I96" s="53"/>
    </row>
    <row r="97" spans="1:8" x14ac:dyDescent="0.4">
      <c r="A97" s="9">
        <v>14</v>
      </c>
      <c r="B97" s="61" t="s">
        <v>78</v>
      </c>
      <c r="C97" s="356" t="s">
        <v>41</v>
      </c>
      <c r="D97" s="357"/>
      <c r="E97" s="357"/>
      <c r="F97" s="357"/>
      <c r="G97" s="408"/>
    </row>
    <row r="98" spans="1:8" x14ac:dyDescent="0.4">
      <c r="C98" s="69"/>
      <c r="D98" s="69"/>
      <c r="E98" s="69"/>
      <c r="F98" s="69"/>
      <c r="G98" s="69"/>
    </row>
    <row r="100" spans="1:8" x14ac:dyDescent="0.4">
      <c r="B100" s="409" t="s">
        <v>728</v>
      </c>
      <c r="C100" s="410"/>
      <c r="D100" s="410"/>
      <c r="E100" s="410"/>
      <c r="F100" s="410"/>
      <c r="G100" s="410"/>
      <c r="H100" s="410"/>
    </row>
    <row r="105" spans="1:8" x14ac:dyDescent="0.4">
      <c r="D105" s="107"/>
      <c r="E105" s="107"/>
    </row>
    <row r="106" spans="1:8" x14ac:dyDescent="0.4">
      <c r="E106" s="237"/>
    </row>
    <row r="107" spans="1:8" x14ac:dyDescent="0.4">
      <c r="D107" s="107"/>
      <c r="E107" s="230"/>
    </row>
  </sheetData>
  <sheetProtection algorithmName="SHA-512" hashValue="MJxR5ejcYrGbwTcA1RhJ0cXbpVuQHFTlMUWuB5nGheOsGza7dVYHISNsVFy3SDZPgofrC08IwAHgZM5FmVIftw==" saltValue="zJGl/PkHsqQkOpw8RXACTg==" spinCount="100000" sheet="1" objects="1" scenarios="1"/>
  <mergeCells count="70">
    <mergeCell ref="B75:N75"/>
    <mergeCell ref="B77:G77"/>
    <mergeCell ref="B80:B82"/>
    <mergeCell ref="B83:B85"/>
    <mergeCell ref="B100:H100"/>
    <mergeCell ref="B92:G92"/>
    <mergeCell ref="B93:G93"/>
    <mergeCell ref="B94:G94"/>
    <mergeCell ref="B95:G95"/>
    <mergeCell ref="C96:G96"/>
    <mergeCell ref="C97:G97"/>
    <mergeCell ref="B86:B88"/>
    <mergeCell ref="B89:B91"/>
    <mergeCell ref="F67:H67"/>
    <mergeCell ref="I67:K67"/>
    <mergeCell ref="L67:N67"/>
    <mergeCell ref="B71:N71"/>
    <mergeCell ref="B72:N72"/>
    <mergeCell ref="B59:E59"/>
    <mergeCell ref="C61:E61"/>
    <mergeCell ref="B67:B68"/>
    <mergeCell ref="C67:C68"/>
    <mergeCell ref="D67:D68"/>
    <mergeCell ref="E67:E68"/>
    <mergeCell ref="B74:N74"/>
    <mergeCell ref="C57:E57"/>
    <mergeCell ref="B39:C39"/>
    <mergeCell ref="B42:E42"/>
    <mergeCell ref="C43:E43"/>
    <mergeCell ref="C44:E44"/>
    <mergeCell ref="C45:E45"/>
    <mergeCell ref="B46:E46"/>
    <mergeCell ref="B48:E48"/>
    <mergeCell ref="B52:E52"/>
    <mergeCell ref="B54:E54"/>
    <mergeCell ref="B55:B56"/>
    <mergeCell ref="C55:E56"/>
    <mergeCell ref="B51:E51"/>
    <mergeCell ref="B73:N73"/>
    <mergeCell ref="C58:E58"/>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F11"/>
    <mergeCell ref="A5:A6"/>
    <mergeCell ref="A8:A9"/>
    <mergeCell ref="A11:A12"/>
    <mergeCell ref="A48:A51"/>
    <mergeCell ref="A54:A59"/>
    <mergeCell ref="A63:A75"/>
    <mergeCell ref="A77:A95"/>
    <mergeCell ref="A14:A15"/>
    <mergeCell ref="A17:A23"/>
    <mergeCell ref="A26:A33"/>
    <mergeCell ref="A35:A39"/>
    <mergeCell ref="A42:A4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sheetPr>
  <dimension ref="A1:N110"/>
  <sheetViews>
    <sheetView topLeftCell="A86" workbookViewId="0">
      <selection activeCell="D90" sqref="D90"/>
    </sheetView>
  </sheetViews>
  <sheetFormatPr defaultColWidth="8.84375" defaultRowHeight="13.25" x14ac:dyDescent="0.4"/>
  <cols>
    <col min="1" max="1" width="8.84375" style="8"/>
    <col min="2" max="2" width="40.84375" style="8" customWidth="1"/>
    <col min="3" max="3" width="43.4609375" style="8" customWidth="1"/>
    <col min="4" max="4" width="15.84375" style="8" customWidth="1"/>
    <col min="5" max="5" width="22.3046875" style="8"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7" t="s">
        <v>1</v>
      </c>
      <c r="B3" s="3" t="s">
        <v>2</v>
      </c>
      <c r="C3" s="4" t="s">
        <v>704</v>
      </c>
    </row>
    <row r="4" spans="1:5" x14ac:dyDescent="0.4">
      <c r="D4" s="5"/>
    </row>
    <row r="5" spans="1:5" x14ac:dyDescent="0.4">
      <c r="A5" s="398">
        <v>1</v>
      </c>
      <c r="B5" s="267" t="s">
        <v>3</v>
      </c>
      <c r="C5" s="356" t="s">
        <v>702</v>
      </c>
      <c r="D5" s="357"/>
      <c r="E5" s="358"/>
    </row>
    <row r="6" spans="1:5" x14ac:dyDescent="0.4">
      <c r="A6" s="398"/>
      <c r="B6" s="362" t="s">
        <v>5</v>
      </c>
      <c r="C6" s="359"/>
      <c r="D6" s="359"/>
      <c r="E6" s="10"/>
    </row>
    <row r="7" spans="1:5" x14ac:dyDescent="0.4">
      <c r="A7" s="9"/>
      <c r="B7" s="11"/>
      <c r="D7" s="5"/>
    </row>
    <row r="8" spans="1:5" x14ac:dyDescent="0.4">
      <c r="A8" s="398">
        <v>2</v>
      </c>
      <c r="B8" s="267" t="s">
        <v>6</v>
      </c>
      <c r="C8" s="12" t="s">
        <v>705</v>
      </c>
      <c r="D8" s="5"/>
    </row>
    <row r="9" spans="1:5" x14ac:dyDescent="0.4">
      <c r="A9" s="398"/>
      <c r="B9" s="361" t="s">
        <v>5</v>
      </c>
      <c r="C9" s="361"/>
      <c r="D9" s="362"/>
    </row>
    <row r="10" spans="1:5" x14ac:dyDescent="0.4">
      <c r="A10" s="9"/>
      <c r="B10" s="11"/>
      <c r="D10" s="5"/>
    </row>
    <row r="11" spans="1:5" x14ac:dyDescent="0.4">
      <c r="A11" s="398">
        <v>3</v>
      </c>
      <c r="B11" s="267" t="s">
        <v>7</v>
      </c>
      <c r="C11" s="356" t="s">
        <v>1108</v>
      </c>
      <c r="D11" s="357"/>
      <c r="E11" s="358"/>
    </row>
    <row r="12" spans="1:5" x14ac:dyDescent="0.4">
      <c r="A12" s="398"/>
      <c r="B12" s="362" t="s">
        <v>5</v>
      </c>
      <c r="C12" s="359"/>
      <c r="D12" s="359"/>
      <c r="E12" s="10"/>
    </row>
    <row r="13" spans="1:5" x14ac:dyDescent="0.4">
      <c r="A13" s="9"/>
      <c r="B13" s="11"/>
      <c r="D13" s="5"/>
    </row>
    <row r="14" spans="1:5" x14ac:dyDescent="0.4">
      <c r="A14" s="398">
        <v>4</v>
      </c>
      <c r="B14" s="3" t="s">
        <v>9</v>
      </c>
      <c r="C14" s="4" t="s">
        <v>706</v>
      </c>
      <c r="D14" s="5"/>
    </row>
    <row r="15" spans="1:5" x14ac:dyDescent="0.4">
      <c r="A15" s="398"/>
      <c r="B15" s="363" t="s">
        <v>10</v>
      </c>
      <c r="C15" s="364"/>
      <c r="D15" s="5"/>
    </row>
    <row r="16" spans="1:5" x14ac:dyDescent="0.4">
      <c r="A16" s="9"/>
      <c r="D16" s="5"/>
    </row>
    <row r="17" spans="1:14" ht="12.7" customHeight="1" x14ac:dyDescent="0.4">
      <c r="A17" s="398">
        <v>5</v>
      </c>
      <c r="B17" s="365" t="s">
        <v>1082</v>
      </c>
      <c r="C17" s="366"/>
      <c r="D17" s="366"/>
      <c r="E17" s="366"/>
      <c r="F17" s="11"/>
      <c r="G17" s="11"/>
      <c r="H17" s="11"/>
      <c r="I17" s="11"/>
      <c r="J17" s="13"/>
      <c r="K17" s="13"/>
      <c r="L17" s="13"/>
      <c r="M17" s="13"/>
      <c r="N17" s="13"/>
    </row>
    <row r="18" spans="1:14" x14ac:dyDescent="0.4">
      <c r="A18" s="398"/>
      <c r="B18" s="14" t="s">
        <v>12</v>
      </c>
      <c r="C18" s="367" t="s">
        <v>13</v>
      </c>
      <c r="D18" s="367"/>
      <c r="E18" s="367"/>
      <c r="F18" s="15"/>
      <c r="G18" s="13"/>
      <c r="H18" s="13"/>
      <c r="I18" s="13"/>
      <c r="J18" s="13"/>
      <c r="K18" s="13"/>
      <c r="L18" s="13"/>
      <c r="M18" s="13"/>
      <c r="N18" s="13"/>
    </row>
    <row r="19" spans="1:14" ht="25.65" x14ac:dyDescent="0.4">
      <c r="A19" s="398"/>
      <c r="B19" s="14" t="s">
        <v>1128</v>
      </c>
      <c r="C19" s="354" t="s">
        <v>13</v>
      </c>
      <c r="D19" s="354"/>
      <c r="E19" s="354"/>
      <c r="F19" s="15"/>
      <c r="G19" s="13"/>
      <c r="I19" s="13"/>
      <c r="J19" s="13"/>
      <c r="K19" s="13"/>
      <c r="L19" s="13"/>
      <c r="M19" s="13"/>
      <c r="N19" s="13"/>
    </row>
    <row r="20" spans="1:14" x14ac:dyDescent="0.4">
      <c r="A20" s="398"/>
      <c r="B20" s="14" t="s">
        <v>605</v>
      </c>
      <c r="C20" s="354" t="s">
        <v>13</v>
      </c>
      <c r="D20" s="354"/>
      <c r="E20" s="354"/>
      <c r="F20" s="15"/>
      <c r="G20" s="13"/>
      <c r="H20" s="13"/>
      <c r="I20" s="13"/>
      <c r="J20" s="13"/>
      <c r="K20" s="13"/>
      <c r="L20" s="13"/>
      <c r="M20" s="13"/>
      <c r="N20" s="13"/>
    </row>
    <row r="21" spans="1:14" x14ac:dyDescent="0.4">
      <c r="A21" s="398"/>
      <c r="B21" s="14" t="s">
        <v>15</v>
      </c>
      <c r="C21" s="354" t="s">
        <v>13</v>
      </c>
      <c r="D21" s="354"/>
      <c r="E21" s="354"/>
      <c r="F21" s="15"/>
      <c r="G21" s="13"/>
      <c r="H21" s="13"/>
      <c r="I21" s="13"/>
      <c r="J21" s="13"/>
      <c r="K21" s="13"/>
      <c r="L21" s="13"/>
      <c r="M21" s="13"/>
      <c r="N21" s="13"/>
    </row>
    <row r="22" spans="1:14" x14ac:dyDescent="0.4">
      <c r="A22" s="398"/>
      <c r="B22" s="16" t="s">
        <v>16</v>
      </c>
      <c r="C22" s="354" t="s">
        <v>13</v>
      </c>
      <c r="D22" s="354"/>
      <c r="E22" s="354"/>
      <c r="F22" s="15"/>
      <c r="G22" s="13"/>
      <c r="H22" s="13"/>
      <c r="I22" s="13"/>
      <c r="J22" s="13"/>
      <c r="K22" s="13"/>
      <c r="L22" s="13"/>
      <c r="M22" s="13"/>
      <c r="N22" s="13"/>
    </row>
    <row r="23" spans="1:14" ht="12.7" customHeight="1" x14ac:dyDescent="0.4">
      <c r="A23" s="398"/>
      <c r="B23" s="363" t="s">
        <v>709</v>
      </c>
      <c r="C23" s="368"/>
      <c r="D23" s="368"/>
      <c r="E23" s="36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12.7" customHeight="1" x14ac:dyDescent="0.4">
      <c r="A26" s="398">
        <v>6</v>
      </c>
      <c r="B26" s="365" t="s">
        <v>1083</v>
      </c>
      <c r="C26" s="365"/>
      <c r="D26" s="365"/>
      <c r="E26" s="365"/>
      <c r="F26" s="11"/>
      <c r="G26" s="11"/>
      <c r="H26" s="13"/>
      <c r="I26" s="11"/>
      <c r="J26" s="11"/>
    </row>
    <row r="27" spans="1:14" x14ac:dyDescent="0.4">
      <c r="A27" s="398"/>
      <c r="B27" s="370" t="s">
        <v>19</v>
      </c>
      <c r="C27" s="371"/>
      <c r="D27" s="371"/>
      <c r="E27" s="372"/>
      <c r="F27" s="15"/>
    </row>
    <row r="28" spans="1:14" x14ac:dyDescent="0.4">
      <c r="A28" s="398"/>
      <c r="B28" s="17" t="s">
        <v>20</v>
      </c>
      <c r="C28" s="18" t="s">
        <v>262</v>
      </c>
      <c r="D28" s="18" t="s">
        <v>263</v>
      </c>
      <c r="E28" s="215" t="s">
        <v>23</v>
      </c>
      <c r="F28" s="15"/>
    </row>
    <row r="29" spans="1:14" ht="12.7" customHeight="1" x14ac:dyDescent="0.4">
      <c r="A29" s="398"/>
      <c r="B29" s="19" t="s">
        <v>24</v>
      </c>
      <c r="C29" s="20">
        <v>728.14</v>
      </c>
      <c r="D29" s="20">
        <v>953.13</v>
      </c>
      <c r="E29" s="270">
        <v>734.46</v>
      </c>
      <c r="F29" s="15"/>
    </row>
    <row r="30" spans="1:14" x14ac:dyDescent="0.4">
      <c r="A30" s="398"/>
      <c r="B30" s="19" t="s">
        <v>25</v>
      </c>
      <c r="C30" s="20">
        <v>103.37</v>
      </c>
      <c r="D30" s="20">
        <v>57.94</v>
      </c>
      <c r="E30" s="270">
        <v>82.33</v>
      </c>
      <c r="F30" s="15"/>
    </row>
    <row r="31" spans="1:14" x14ac:dyDescent="0.4">
      <c r="A31" s="398"/>
      <c r="B31" s="19" t="s">
        <v>26</v>
      </c>
      <c r="C31" s="20">
        <v>137.19999999999999</v>
      </c>
      <c r="D31" s="20">
        <v>137.19999999999999</v>
      </c>
      <c r="E31" s="270">
        <v>137.19999999999999</v>
      </c>
      <c r="F31" s="15"/>
    </row>
    <row r="32" spans="1:14" x14ac:dyDescent="0.4">
      <c r="A32" s="398"/>
      <c r="B32" s="19" t="s">
        <v>27</v>
      </c>
      <c r="C32" s="20">
        <v>925.68</v>
      </c>
      <c r="D32" s="20">
        <v>956.19</v>
      </c>
      <c r="E32" s="270">
        <v>1022.29</v>
      </c>
      <c r="F32" s="15"/>
    </row>
    <row r="33" spans="1:10" ht="12.7" customHeight="1" x14ac:dyDescent="0.4">
      <c r="A33" s="398"/>
      <c r="B33" s="363" t="s">
        <v>709</v>
      </c>
      <c r="C33" s="368"/>
      <c r="D33" s="368"/>
      <c r="E33" s="369"/>
      <c r="F33" s="15"/>
    </row>
    <row r="34" spans="1:10" x14ac:dyDescent="0.4">
      <c r="A34" s="9"/>
      <c r="B34" s="13"/>
      <c r="C34" s="15"/>
      <c r="D34" s="15"/>
      <c r="E34" s="15"/>
      <c r="F34" s="15"/>
    </row>
    <row r="35" spans="1:10" ht="12.7" customHeight="1" x14ac:dyDescent="0.4">
      <c r="A35" s="398">
        <v>7</v>
      </c>
      <c r="B35" s="376" t="s">
        <v>28</v>
      </c>
      <c r="C35" s="365"/>
      <c r="D35" s="365"/>
      <c r="E35" s="365"/>
      <c r="F35" s="11"/>
      <c r="G35" s="11"/>
      <c r="H35" s="11"/>
      <c r="I35" s="11"/>
      <c r="J35" s="11"/>
    </row>
    <row r="36" spans="1:10" x14ac:dyDescent="0.4">
      <c r="A36" s="398"/>
      <c r="B36" s="266" t="s">
        <v>29</v>
      </c>
      <c r="C36" s="20" t="s">
        <v>183</v>
      </c>
      <c r="D36" s="13"/>
      <c r="E36" s="13"/>
      <c r="F36" s="13"/>
    </row>
    <row r="37" spans="1:10" x14ac:dyDescent="0.4">
      <c r="A37" s="398"/>
      <c r="B37" s="266" t="s">
        <v>31</v>
      </c>
      <c r="C37" s="20" t="s">
        <v>808</v>
      </c>
      <c r="D37" s="13"/>
      <c r="E37" s="13"/>
      <c r="F37" s="13"/>
    </row>
    <row r="38" spans="1:10" x14ac:dyDescent="0.4">
      <c r="A38" s="398"/>
      <c r="B38" s="274" t="s">
        <v>32</v>
      </c>
      <c r="C38" s="20" t="s">
        <v>183</v>
      </c>
      <c r="D38" s="13"/>
      <c r="E38" s="13"/>
      <c r="F38" s="13"/>
    </row>
    <row r="39" spans="1:10" ht="12.7" customHeight="1" x14ac:dyDescent="0.4">
      <c r="A39" s="398"/>
      <c r="B39" s="362" t="s">
        <v>559</v>
      </c>
      <c r="C39" s="359"/>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398">
        <v>8</v>
      </c>
      <c r="B42" s="365" t="s">
        <v>1084</v>
      </c>
      <c r="C42" s="365"/>
      <c r="D42" s="365"/>
      <c r="E42" s="365"/>
      <c r="F42" s="11"/>
      <c r="G42" s="11"/>
      <c r="H42" s="11"/>
      <c r="I42" s="11"/>
      <c r="J42" s="11"/>
    </row>
    <row r="43" spans="1:10" ht="12.7" customHeight="1" x14ac:dyDescent="0.4">
      <c r="A43" s="398"/>
      <c r="B43" s="17" t="s">
        <v>34</v>
      </c>
      <c r="D43" s="8" t="s">
        <v>560</v>
      </c>
      <c r="F43" s="13"/>
    </row>
    <row r="44" spans="1:10" ht="33.049999999999997" customHeight="1" x14ac:dyDescent="0.4">
      <c r="A44" s="398"/>
      <c r="B44" s="17" t="s">
        <v>31</v>
      </c>
      <c r="C44" s="373" t="s">
        <v>810</v>
      </c>
      <c r="D44" s="374"/>
      <c r="E44" s="375"/>
      <c r="F44" s="13"/>
    </row>
    <row r="45" spans="1:10" x14ac:dyDescent="0.4">
      <c r="A45" s="398"/>
      <c r="B45" s="17" t="s">
        <v>32</v>
      </c>
      <c r="C45" s="446" t="s">
        <v>866</v>
      </c>
      <c r="D45" s="446"/>
      <c r="E45" s="446"/>
      <c r="F45" s="13"/>
    </row>
    <row r="46" spans="1:10" ht="12.7" customHeight="1" x14ac:dyDescent="0.4">
      <c r="A46" s="398"/>
      <c r="B46" s="363" t="s">
        <v>35</v>
      </c>
      <c r="C46" s="368"/>
      <c r="D46" s="368"/>
      <c r="E46" s="369"/>
      <c r="F46" s="13"/>
    </row>
    <row r="47" spans="1:10" x14ac:dyDescent="0.4">
      <c r="A47" s="2"/>
      <c r="D47" s="23"/>
      <c r="E47" s="13"/>
    </row>
    <row r="48" spans="1:10" ht="12.7" customHeight="1" x14ac:dyDescent="0.4">
      <c r="A48" s="398">
        <v>9</v>
      </c>
      <c r="B48" s="376" t="s">
        <v>1085</v>
      </c>
      <c r="C48" s="365"/>
      <c r="D48" s="365"/>
      <c r="E48" s="365"/>
      <c r="F48" s="25"/>
      <c r="G48" s="11"/>
      <c r="H48" s="11"/>
      <c r="I48" s="11"/>
    </row>
    <row r="49" spans="1:14" ht="25.65" x14ac:dyDescent="0.4">
      <c r="A49" s="398"/>
      <c r="B49" s="26" t="s">
        <v>37</v>
      </c>
      <c r="C49" s="27" t="s">
        <v>38</v>
      </c>
      <c r="D49" s="28" t="s">
        <v>39</v>
      </c>
      <c r="E49" s="27" t="s">
        <v>206</v>
      </c>
    </row>
    <row r="50" spans="1:14" ht="119.3" x14ac:dyDescent="0.4">
      <c r="A50" s="398"/>
      <c r="B50" s="78" t="s">
        <v>307</v>
      </c>
      <c r="C50" s="78" t="s">
        <v>707</v>
      </c>
      <c r="D50" s="160" t="s">
        <v>867</v>
      </c>
      <c r="E50" s="160" t="s">
        <v>41</v>
      </c>
    </row>
    <row r="51" spans="1:14" s="63" customFormat="1" x14ac:dyDescent="0.35">
      <c r="A51" s="398"/>
      <c r="B51" s="392" t="s">
        <v>48</v>
      </c>
      <c r="C51" s="392"/>
      <c r="D51" s="392"/>
      <c r="E51" s="392"/>
    </row>
    <row r="52" spans="1:14" ht="12.7" customHeight="1" x14ac:dyDescent="0.4">
      <c r="A52" s="268"/>
      <c r="B52" s="380"/>
      <c r="C52" s="381"/>
      <c r="D52" s="381"/>
      <c r="E52" s="382"/>
      <c r="F52" s="15"/>
      <c r="G52" s="15"/>
      <c r="H52" s="15"/>
    </row>
    <row r="53" spans="1:14" x14ac:dyDescent="0.4">
      <c r="A53" s="36"/>
      <c r="B53" s="62"/>
      <c r="C53" s="23"/>
      <c r="D53" s="23"/>
      <c r="E53" s="23"/>
      <c r="F53" s="15"/>
      <c r="G53" s="15"/>
      <c r="H53" s="15"/>
      <c r="I53" s="15"/>
    </row>
    <row r="54" spans="1:14" ht="12.7" customHeight="1" x14ac:dyDescent="0.4">
      <c r="A54" s="398">
        <v>10</v>
      </c>
      <c r="B54" s="376" t="s">
        <v>1085</v>
      </c>
      <c r="C54" s="365"/>
      <c r="D54" s="365"/>
      <c r="E54" s="365"/>
      <c r="F54" s="15"/>
      <c r="G54" s="15"/>
      <c r="H54" s="15"/>
    </row>
    <row r="55" spans="1:14" ht="12.7" customHeight="1" x14ac:dyDescent="0.4">
      <c r="A55" s="398"/>
      <c r="B55" s="383" t="s">
        <v>43</v>
      </c>
      <c r="C55" s="385" t="s">
        <v>868</v>
      </c>
      <c r="D55" s="386"/>
      <c r="E55" s="387"/>
      <c r="K55" s="1"/>
    </row>
    <row r="56" spans="1:14" ht="33.799999999999997" customHeight="1" x14ac:dyDescent="0.4">
      <c r="A56" s="398"/>
      <c r="B56" s="384"/>
      <c r="C56" s="388"/>
      <c r="D56" s="389"/>
      <c r="E56" s="390"/>
      <c r="K56" s="1"/>
    </row>
    <row r="57" spans="1:14" ht="44.3" customHeight="1" x14ac:dyDescent="0.4">
      <c r="A57" s="398"/>
      <c r="B57" s="33" t="s">
        <v>44</v>
      </c>
      <c r="C57" s="391" t="s">
        <v>869</v>
      </c>
      <c r="D57" s="391"/>
      <c r="E57" s="391"/>
    </row>
    <row r="58" spans="1:14" x14ac:dyDescent="0.4">
      <c r="A58" s="398"/>
      <c r="B58" s="33" t="s">
        <v>45</v>
      </c>
      <c r="C58" s="471" t="s">
        <v>46</v>
      </c>
      <c r="D58" s="472"/>
      <c r="E58" s="473"/>
      <c r="K58" s="34"/>
    </row>
    <row r="59" spans="1:14" s="63" customFormat="1" x14ac:dyDescent="0.35">
      <c r="A59" s="398"/>
      <c r="B59" s="392" t="s">
        <v>48</v>
      </c>
      <c r="C59" s="392"/>
      <c r="D59" s="392"/>
      <c r="E59" s="392"/>
    </row>
    <row r="60" spans="1:14" ht="12.7" customHeight="1" x14ac:dyDescent="0.4">
      <c r="A60" s="29"/>
      <c r="B60" s="380"/>
      <c r="C60" s="381"/>
      <c r="D60" s="381"/>
      <c r="E60" s="382"/>
      <c r="K60" s="34"/>
    </row>
    <row r="61" spans="1:14" x14ac:dyDescent="0.4">
      <c r="A61" s="40"/>
      <c r="B61" s="41"/>
      <c r="C61" s="42"/>
      <c r="D61" s="42"/>
      <c r="E61" s="42"/>
      <c r="F61" s="42"/>
    </row>
    <row r="62" spans="1:14" ht="12.7" customHeight="1" x14ac:dyDescent="0.4">
      <c r="A62" s="18">
        <v>11</v>
      </c>
      <c r="B62" s="3" t="s">
        <v>49</v>
      </c>
      <c r="C62" s="393" t="s">
        <v>1037</v>
      </c>
      <c r="D62" s="393"/>
      <c r="E62" s="393"/>
      <c r="F62" s="11"/>
      <c r="G62" s="11"/>
      <c r="H62" s="43"/>
      <c r="I62" s="11"/>
      <c r="J62" s="11"/>
    </row>
    <row r="63" spans="1:14" x14ac:dyDescent="0.4">
      <c r="A63" s="9"/>
      <c r="B63" s="15"/>
      <c r="C63" s="15"/>
      <c r="D63" s="15"/>
      <c r="E63" s="15"/>
      <c r="F63" s="15"/>
      <c r="G63" s="15"/>
      <c r="H63" s="44"/>
      <c r="I63" s="44"/>
      <c r="J63" s="15"/>
    </row>
    <row r="64" spans="1:14" x14ac:dyDescent="0.4">
      <c r="A64" s="398">
        <v>12</v>
      </c>
      <c r="B64" s="275" t="s">
        <v>51</v>
      </c>
      <c r="C64" s="3"/>
      <c r="D64" s="11"/>
      <c r="E64" s="43"/>
      <c r="F64" s="43"/>
      <c r="G64" s="11"/>
      <c r="H64" s="11"/>
      <c r="I64" s="11"/>
      <c r="J64" s="11"/>
      <c r="K64" s="11"/>
      <c r="L64" s="11"/>
      <c r="M64" s="11"/>
      <c r="N64" s="11"/>
    </row>
    <row r="65" spans="1:14" x14ac:dyDescent="0.4">
      <c r="A65" s="398"/>
      <c r="B65" s="275"/>
      <c r="C65" s="3"/>
      <c r="D65" s="11"/>
      <c r="E65" s="43"/>
      <c r="F65" s="43"/>
      <c r="G65" s="43"/>
      <c r="H65" s="11"/>
      <c r="I65" s="11"/>
      <c r="J65" s="11"/>
      <c r="K65" s="11"/>
      <c r="L65" s="11"/>
      <c r="M65" s="11"/>
      <c r="N65" s="11"/>
    </row>
    <row r="66" spans="1:14" x14ac:dyDescent="0.4">
      <c r="A66" s="398"/>
      <c r="B66" s="266" t="s">
        <v>52</v>
      </c>
      <c r="C66" s="19" t="s">
        <v>710</v>
      </c>
      <c r="D66" s="15"/>
      <c r="E66" s="15"/>
      <c r="F66" s="44"/>
      <c r="G66" s="44"/>
      <c r="H66" s="15"/>
      <c r="I66" s="15"/>
      <c r="J66" s="15"/>
      <c r="K66" s="15"/>
      <c r="L66" s="15"/>
      <c r="M66" s="15"/>
      <c r="N66" s="15"/>
    </row>
    <row r="67" spans="1:14" x14ac:dyDescent="0.4">
      <c r="A67" s="398"/>
      <c r="B67" s="15"/>
      <c r="C67" s="15"/>
      <c r="D67" s="118"/>
      <c r="E67" s="118"/>
      <c r="F67" s="15"/>
      <c r="G67" s="15"/>
      <c r="H67" s="15"/>
      <c r="I67" s="15"/>
      <c r="J67" s="15"/>
      <c r="K67" s="15"/>
      <c r="L67" s="15"/>
      <c r="M67" s="15"/>
      <c r="N67" s="15"/>
    </row>
    <row r="68" spans="1:14" ht="12.7" customHeight="1" x14ac:dyDescent="0.4">
      <c r="A68" s="398"/>
      <c r="B68" s="376" t="s">
        <v>53</v>
      </c>
      <c r="C68" s="366" t="s">
        <v>708</v>
      </c>
      <c r="D68" s="366" t="s">
        <v>271</v>
      </c>
      <c r="E68" s="403" t="s">
        <v>232</v>
      </c>
      <c r="F68" s="395" t="s">
        <v>864</v>
      </c>
      <c r="G68" s="396"/>
      <c r="H68" s="397"/>
      <c r="I68" s="398" t="s">
        <v>865</v>
      </c>
      <c r="J68" s="398"/>
      <c r="K68" s="398"/>
      <c r="L68" s="398" t="s">
        <v>56</v>
      </c>
      <c r="M68" s="398"/>
      <c r="N68" s="398"/>
    </row>
    <row r="69" spans="1:14" ht="38.450000000000003" x14ac:dyDescent="0.4">
      <c r="A69" s="398"/>
      <c r="B69" s="376"/>
      <c r="C69" s="402"/>
      <c r="D69" s="402"/>
      <c r="E69" s="404"/>
      <c r="F69" s="17" t="s">
        <v>57</v>
      </c>
      <c r="G69" s="17" t="s">
        <v>58</v>
      </c>
      <c r="H69" s="17" t="s">
        <v>59</v>
      </c>
      <c r="I69" s="17" t="s">
        <v>60</v>
      </c>
      <c r="J69" s="17" t="s">
        <v>58</v>
      </c>
      <c r="K69" s="17" t="s">
        <v>59</v>
      </c>
      <c r="L69" s="17" t="s">
        <v>60</v>
      </c>
      <c r="M69" s="17" t="s">
        <v>58</v>
      </c>
      <c r="N69" s="17" t="s">
        <v>59</v>
      </c>
    </row>
    <row r="70" spans="1:14" x14ac:dyDescent="0.4">
      <c r="A70" s="398"/>
      <c r="B70" s="266" t="s">
        <v>61</v>
      </c>
      <c r="C70" s="111">
        <v>54.8</v>
      </c>
      <c r="D70" s="45">
        <v>148</v>
      </c>
      <c r="E70" s="45">
        <v>210</v>
      </c>
      <c r="F70" s="45">
        <v>200</v>
      </c>
      <c r="G70" s="45">
        <v>230.5</v>
      </c>
      <c r="H70" s="45">
        <v>52.2</v>
      </c>
      <c r="I70" s="45">
        <v>285</v>
      </c>
      <c r="J70" s="45">
        <v>300</v>
      </c>
      <c r="K70" s="45">
        <v>167</v>
      </c>
      <c r="L70" s="45">
        <v>97</v>
      </c>
      <c r="M70" s="45">
        <v>228</v>
      </c>
      <c r="N70" s="45">
        <v>63.2</v>
      </c>
    </row>
    <row r="71" spans="1:14" ht="25.65" x14ac:dyDescent="0.4">
      <c r="A71" s="398"/>
      <c r="B71" s="266" t="s">
        <v>216</v>
      </c>
      <c r="C71" s="111">
        <v>37090.82</v>
      </c>
      <c r="D71" s="111">
        <v>39950.46</v>
      </c>
      <c r="E71" s="45">
        <v>36958.160000000003</v>
      </c>
      <c r="F71" s="45">
        <v>29468.49</v>
      </c>
      <c r="G71" s="45">
        <v>42273.87</v>
      </c>
      <c r="H71" s="45">
        <v>25638.9</v>
      </c>
      <c r="I71" s="46">
        <v>49509.15</v>
      </c>
      <c r="J71" s="46">
        <v>52516.76</v>
      </c>
      <c r="K71" s="46">
        <v>27500.79</v>
      </c>
      <c r="L71" s="45">
        <v>58568.51</v>
      </c>
      <c r="M71" s="45">
        <v>62245.43</v>
      </c>
      <c r="N71" s="45">
        <v>47204.5</v>
      </c>
    </row>
    <row r="72" spans="1:14" x14ac:dyDescent="0.4">
      <c r="A72" s="398"/>
      <c r="B72" s="467" t="s">
        <v>17</v>
      </c>
      <c r="C72" s="459"/>
      <c r="D72" s="459"/>
      <c r="E72" s="401"/>
      <c r="F72" s="401"/>
      <c r="G72" s="401"/>
      <c r="H72" s="401"/>
      <c r="I72" s="401"/>
      <c r="J72" s="401"/>
      <c r="K72" s="401"/>
      <c r="L72" s="401"/>
      <c r="M72" s="401"/>
      <c r="N72" s="401"/>
    </row>
    <row r="73" spans="1:14" ht="12.7" customHeight="1" x14ac:dyDescent="0.4">
      <c r="A73" s="398"/>
      <c r="B73" s="362" t="s">
        <v>63</v>
      </c>
      <c r="C73" s="359"/>
      <c r="D73" s="359"/>
      <c r="E73" s="359"/>
      <c r="F73" s="359"/>
      <c r="G73" s="359"/>
      <c r="H73" s="359"/>
      <c r="I73" s="359"/>
      <c r="J73" s="359"/>
      <c r="K73" s="359"/>
      <c r="L73" s="359"/>
      <c r="M73" s="359"/>
      <c r="N73" s="359"/>
    </row>
    <row r="74" spans="1:14" s="1" customFormat="1" ht="12.7" customHeight="1" x14ac:dyDescent="0.4">
      <c r="A74" s="398"/>
      <c r="B74" s="362" t="s">
        <v>64</v>
      </c>
      <c r="C74" s="359"/>
      <c r="D74" s="359"/>
      <c r="E74" s="359"/>
      <c r="F74" s="359"/>
      <c r="G74" s="359"/>
      <c r="H74" s="359"/>
      <c r="I74" s="359"/>
      <c r="J74" s="359"/>
      <c r="K74" s="359"/>
      <c r="L74" s="359"/>
      <c r="M74" s="359"/>
      <c r="N74" s="359"/>
    </row>
    <row r="75" spans="1:14" ht="12.7" customHeight="1" x14ac:dyDescent="0.4">
      <c r="A75" s="398"/>
      <c r="B75" s="362" t="s">
        <v>358</v>
      </c>
      <c r="C75" s="359"/>
      <c r="D75" s="359"/>
      <c r="E75" s="359"/>
      <c r="F75" s="359"/>
      <c r="G75" s="359"/>
      <c r="H75" s="359"/>
      <c r="I75" s="359"/>
      <c r="J75" s="359"/>
      <c r="K75" s="359"/>
      <c r="L75" s="359"/>
      <c r="M75" s="359"/>
      <c r="N75" s="359"/>
    </row>
    <row r="76" spans="1:14" ht="12.7" customHeight="1" x14ac:dyDescent="0.4">
      <c r="A76" s="398"/>
      <c r="B76" s="362" t="s">
        <v>65</v>
      </c>
      <c r="C76" s="359"/>
      <c r="D76" s="359"/>
      <c r="E76" s="359"/>
      <c r="F76" s="359"/>
      <c r="G76" s="359"/>
      <c r="H76" s="359"/>
      <c r="I76" s="359"/>
      <c r="J76" s="359"/>
      <c r="K76" s="359"/>
      <c r="L76" s="359"/>
      <c r="M76" s="359"/>
      <c r="N76" s="359"/>
    </row>
    <row r="77" spans="1:14" x14ac:dyDescent="0.4">
      <c r="A77" s="2"/>
      <c r="B77" s="49"/>
      <c r="C77" s="49"/>
      <c r="D77" s="49"/>
      <c r="E77" s="49"/>
      <c r="F77" s="49"/>
      <c r="G77" s="13"/>
      <c r="H77" s="13"/>
      <c r="I77" s="13"/>
      <c r="J77" s="13"/>
      <c r="K77" s="13"/>
      <c r="L77" s="13"/>
      <c r="M77" s="13"/>
      <c r="N77" s="13"/>
    </row>
    <row r="78" spans="1:14" ht="12.7" customHeight="1" x14ac:dyDescent="0.4">
      <c r="A78" s="398">
        <v>13</v>
      </c>
      <c r="B78" s="406" t="s">
        <v>66</v>
      </c>
      <c r="C78" s="406"/>
      <c r="D78" s="406"/>
      <c r="E78" s="406"/>
      <c r="F78" s="406"/>
      <c r="G78" s="376"/>
      <c r="H78" s="11"/>
      <c r="I78" s="11"/>
      <c r="J78" s="11"/>
      <c r="K78" s="11"/>
      <c r="L78" s="11"/>
      <c r="M78" s="11"/>
      <c r="N78" s="11"/>
    </row>
    <row r="79" spans="1:14" x14ac:dyDescent="0.4">
      <c r="A79" s="398"/>
      <c r="C79" s="15"/>
      <c r="D79" s="15"/>
      <c r="E79" s="15"/>
      <c r="F79" s="15"/>
      <c r="G79" s="15"/>
      <c r="H79" s="15"/>
      <c r="I79" s="15"/>
      <c r="J79" s="15"/>
      <c r="K79" s="15"/>
      <c r="L79" s="15"/>
      <c r="M79" s="15"/>
      <c r="N79" s="15"/>
    </row>
    <row r="80" spans="1:14" ht="25.65" x14ac:dyDescent="0.4">
      <c r="A80" s="398"/>
      <c r="B80" s="269" t="s">
        <v>67</v>
      </c>
      <c r="C80" s="18" t="s">
        <v>68</v>
      </c>
      <c r="D80" s="18" t="s">
        <v>1127</v>
      </c>
      <c r="E80" s="18" t="s">
        <v>218</v>
      </c>
      <c r="F80" s="18" t="s">
        <v>71</v>
      </c>
      <c r="G80" s="18" t="s">
        <v>107</v>
      </c>
      <c r="H80" s="13"/>
      <c r="I80" s="13"/>
      <c r="J80" s="13"/>
      <c r="K80" s="13"/>
      <c r="L80" s="13"/>
      <c r="M80" s="13"/>
      <c r="N80" s="13"/>
    </row>
    <row r="81" spans="1:14" ht="12.7" customHeight="1" x14ac:dyDescent="0.35">
      <c r="A81" s="398"/>
      <c r="B81" s="468" t="s">
        <v>72</v>
      </c>
      <c r="C81" s="3" t="s">
        <v>712</v>
      </c>
      <c r="D81" s="65">
        <v>5.81</v>
      </c>
      <c r="E81" s="65">
        <v>7.78</v>
      </c>
      <c r="F81" s="65">
        <v>4.22</v>
      </c>
      <c r="G81" s="70">
        <v>6</v>
      </c>
      <c r="H81" s="53"/>
      <c r="I81" s="53"/>
      <c r="J81" s="53"/>
      <c r="K81" s="53"/>
      <c r="L81" s="53"/>
      <c r="M81" s="53"/>
      <c r="N81" s="53"/>
    </row>
    <row r="82" spans="1:14" x14ac:dyDescent="0.4">
      <c r="A82" s="398"/>
      <c r="B82" s="468"/>
      <c r="C82" s="3" t="s">
        <v>73</v>
      </c>
      <c r="D82" s="54"/>
      <c r="E82" s="54"/>
      <c r="F82" s="54"/>
      <c r="G82" s="66"/>
      <c r="H82" s="53"/>
      <c r="I82" s="53"/>
      <c r="J82" s="53"/>
      <c r="K82" s="53"/>
      <c r="L82" s="53"/>
      <c r="M82" s="53"/>
      <c r="N82" s="53"/>
    </row>
    <row r="83" spans="1:14" x14ac:dyDescent="0.4">
      <c r="A83" s="398"/>
      <c r="B83" s="468"/>
      <c r="C83" s="3" t="s">
        <v>74</v>
      </c>
      <c r="D83" s="76"/>
      <c r="E83" s="76"/>
      <c r="F83" s="76"/>
      <c r="G83" s="66"/>
      <c r="H83" s="53"/>
      <c r="I83" s="53"/>
      <c r="J83" s="53"/>
      <c r="K83" s="53"/>
      <c r="L83" s="53"/>
      <c r="M83" s="53"/>
      <c r="N83" s="53"/>
    </row>
    <row r="84" spans="1:14" x14ac:dyDescent="0.35">
      <c r="A84" s="398"/>
      <c r="B84" s="468" t="s">
        <v>75</v>
      </c>
      <c r="C84" s="3" t="s">
        <v>713</v>
      </c>
      <c r="D84" s="77">
        <v>4.7699999999999996</v>
      </c>
      <c r="E84" s="77">
        <f>F70/E81</f>
        <v>25.70694087403599</v>
      </c>
      <c r="F84" s="77">
        <f>I70/F81</f>
        <v>67.535545023696685</v>
      </c>
      <c r="G84" s="70">
        <f>L70/G81</f>
        <v>16.166666666666668</v>
      </c>
      <c r="H84" s="53"/>
      <c r="I84" s="53"/>
      <c r="J84" s="53"/>
      <c r="K84" s="53"/>
      <c r="L84" s="53"/>
      <c r="M84" s="53"/>
      <c r="N84" s="53"/>
    </row>
    <row r="85" spans="1:14" x14ac:dyDescent="0.4">
      <c r="A85" s="398"/>
      <c r="B85" s="468"/>
      <c r="C85" s="3" t="s">
        <v>73</v>
      </c>
      <c r="D85" s="54"/>
      <c r="E85" s="54"/>
      <c r="F85" s="54"/>
      <c r="G85" s="66"/>
      <c r="H85" s="53"/>
      <c r="I85" s="53"/>
      <c r="J85" s="53"/>
      <c r="K85" s="53"/>
      <c r="L85" s="53"/>
      <c r="M85" s="53"/>
      <c r="N85" s="53"/>
    </row>
    <row r="86" spans="1:14" x14ac:dyDescent="0.4">
      <c r="A86" s="398"/>
      <c r="B86" s="468"/>
      <c r="C86" s="3" t="s">
        <v>74</v>
      </c>
      <c r="D86" s="76"/>
      <c r="E86" s="76"/>
      <c r="F86" s="76"/>
      <c r="G86" s="66"/>
      <c r="H86" s="53"/>
      <c r="I86" s="53"/>
      <c r="J86" s="53"/>
      <c r="K86" s="53"/>
      <c r="L86" s="53"/>
      <c r="M86" s="53"/>
      <c r="N86" s="53"/>
    </row>
    <row r="87" spans="1:14" x14ac:dyDescent="0.35">
      <c r="A87" s="398"/>
      <c r="B87" s="468" t="s">
        <v>76</v>
      </c>
      <c r="C87" s="3" t="s">
        <v>713</v>
      </c>
      <c r="D87" s="65">
        <v>7.59</v>
      </c>
      <c r="E87" s="77">
        <f>103.36/1062.89*100</f>
        <v>9.7244305619584335</v>
      </c>
      <c r="F87" s="77">
        <f>57.94/1093.39*100</f>
        <v>5.2991155946185708</v>
      </c>
      <c r="G87" s="70">
        <v>7.1</v>
      </c>
      <c r="H87" s="53"/>
      <c r="I87" s="53"/>
      <c r="J87" s="53"/>
      <c r="K87" s="53"/>
      <c r="L87" s="53"/>
      <c r="M87" s="53"/>
      <c r="N87" s="53"/>
    </row>
    <row r="88" spans="1:14" x14ac:dyDescent="0.4">
      <c r="A88" s="398"/>
      <c r="B88" s="468"/>
      <c r="C88" s="3" t="s">
        <v>73</v>
      </c>
      <c r="D88" s="54"/>
      <c r="E88" s="54"/>
      <c r="F88" s="54"/>
      <c r="G88" s="66"/>
      <c r="H88" s="53"/>
      <c r="I88" s="53"/>
      <c r="J88" s="53"/>
      <c r="K88" s="53"/>
      <c r="L88" s="53"/>
      <c r="M88" s="53"/>
      <c r="N88" s="53"/>
    </row>
    <row r="89" spans="1:14" x14ac:dyDescent="0.4">
      <c r="A89" s="398"/>
      <c r="B89" s="468"/>
      <c r="C89" s="3" t="s">
        <v>74</v>
      </c>
      <c r="D89" s="76"/>
      <c r="E89" s="76"/>
      <c r="F89" s="76"/>
      <c r="G89" s="66"/>
      <c r="H89" s="53"/>
      <c r="I89" s="53"/>
      <c r="J89" s="53"/>
      <c r="K89" s="57"/>
      <c r="L89" s="53"/>
      <c r="M89" s="53"/>
      <c r="N89" s="53"/>
    </row>
    <row r="90" spans="1:14" x14ac:dyDescent="0.35">
      <c r="A90" s="398"/>
      <c r="B90" s="468" t="s">
        <v>77</v>
      </c>
      <c r="C90" s="3" t="s">
        <v>713</v>
      </c>
      <c r="D90" s="65">
        <v>76.53</v>
      </c>
      <c r="E90" s="77">
        <f>1062.89/13.72</f>
        <v>77.470116618075807</v>
      </c>
      <c r="F90" s="77">
        <f>1093.39/13.72</f>
        <v>79.693148688046648</v>
      </c>
      <c r="G90" s="66">
        <v>84.51</v>
      </c>
      <c r="H90" s="53"/>
      <c r="I90" s="53"/>
      <c r="J90" s="53"/>
      <c r="K90" s="53"/>
      <c r="L90" s="53"/>
      <c r="M90" s="53"/>
      <c r="N90" s="53"/>
    </row>
    <row r="91" spans="1:14" x14ac:dyDescent="0.4">
      <c r="A91" s="398"/>
      <c r="B91" s="468"/>
      <c r="C91" s="3" t="s">
        <v>73</v>
      </c>
      <c r="D91" s="54"/>
      <c r="E91" s="54"/>
      <c r="F91" s="54"/>
      <c r="G91" s="66"/>
      <c r="H91" s="53"/>
      <c r="I91" s="53"/>
      <c r="J91" s="53"/>
      <c r="K91" s="53"/>
      <c r="L91" s="53"/>
      <c r="M91" s="53"/>
      <c r="N91" s="53"/>
    </row>
    <row r="92" spans="1:14" x14ac:dyDescent="0.4">
      <c r="A92" s="398"/>
      <c r="B92" s="470"/>
      <c r="C92" s="3" t="s">
        <v>74</v>
      </c>
      <c r="D92" s="76"/>
      <c r="E92" s="76"/>
      <c r="F92" s="76"/>
      <c r="G92" s="66"/>
      <c r="H92" s="53"/>
      <c r="I92" s="53"/>
      <c r="J92" s="53"/>
      <c r="K92" s="53"/>
      <c r="L92" s="53"/>
      <c r="M92" s="53"/>
      <c r="N92" s="53"/>
    </row>
    <row r="93" spans="1:14" s="1" customFormat="1" x14ac:dyDescent="0.4">
      <c r="A93" s="398"/>
      <c r="B93" s="469"/>
      <c r="C93" s="413"/>
      <c r="D93" s="413"/>
      <c r="E93" s="413"/>
      <c r="F93" s="413"/>
      <c r="G93" s="414"/>
    </row>
    <row r="94" spans="1:14" ht="12.7" customHeight="1" x14ac:dyDescent="0.4">
      <c r="A94" s="398"/>
      <c r="B94" s="416" t="s">
        <v>711</v>
      </c>
      <c r="C94" s="416"/>
      <c r="D94" s="416"/>
      <c r="E94" s="416"/>
      <c r="F94" s="416"/>
      <c r="G94" s="417"/>
      <c r="H94" s="53"/>
      <c r="I94" s="53"/>
      <c r="J94" s="53"/>
      <c r="K94" s="53"/>
      <c r="L94" s="53"/>
      <c r="M94" s="53"/>
      <c r="N94" s="53"/>
    </row>
    <row r="95" spans="1:14" ht="12.7" customHeight="1" x14ac:dyDescent="0.4">
      <c r="A95" s="398"/>
      <c r="B95" s="419" t="s">
        <v>85</v>
      </c>
      <c r="C95" s="419"/>
      <c r="D95" s="419"/>
      <c r="E95" s="419"/>
      <c r="F95" s="419"/>
      <c r="G95" s="420"/>
      <c r="H95" s="53"/>
      <c r="I95" s="53"/>
      <c r="J95" s="53"/>
      <c r="K95" s="53"/>
      <c r="L95" s="53"/>
      <c r="M95" s="53"/>
      <c r="N95" s="53"/>
    </row>
    <row r="96" spans="1:14" x14ac:dyDescent="0.4">
      <c r="A96" s="2"/>
      <c r="B96" s="363"/>
      <c r="C96" s="368"/>
      <c r="D96" s="368"/>
      <c r="E96" s="368"/>
      <c r="F96" s="368"/>
      <c r="G96" s="369"/>
      <c r="H96" s="53"/>
      <c r="I96" s="53"/>
      <c r="J96" s="53"/>
      <c r="K96" s="53"/>
      <c r="L96" s="53"/>
      <c r="M96" s="53"/>
      <c r="N96" s="53"/>
    </row>
    <row r="97" spans="1:14" x14ac:dyDescent="0.4">
      <c r="C97" s="407"/>
      <c r="D97" s="407"/>
      <c r="E97" s="407"/>
      <c r="F97" s="407"/>
      <c r="G97" s="407"/>
      <c r="H97" s="53"/>
      <c r="I97" s="53"/>
    </row>
    <row r="98" spans="1:14" x14ac:dyDescent="0.4">
      <c r="A98" s="18">
        <v>14</v>
      </c>
      <c r="B98" s="61" t="s">
        <v>78</v>
      </c>
      <c r="C98" s="356" t="s">
        <v>41</v>
      </c>
      <c r="D98" s="357"/>
      <c r="E98" s="357"/>
      <c r="F98" s="357"/>
      <c r="G98" s="408"/>
    </row>
    <row r="99" spans="1:14" x14ac:dyDescent="0.4">
      <c r="A99" s="23"/>
      <c r="C99" s="69"/>
      <c r="D99" s="69"/>
      <c r="E99" s="69"/>
      <c r="F99" s="69"/>
      <c r="G99" s="69"/>
    </row>
    <row r="100" spans="1:14" x14ac:dyDescent="0.4">
      <c r="C100" s="69"/>
      <c r="D100" s="69"/>
      <c r="E100" s="69"/>
      <c r="F100" s="69"/>
      <c r="G100" s="69"/>
    </row>
    <row r="102" spans="1:14" ht="12.7" customHeight="1" x14ac:dyDescent="0.4">
      <c r="A102" s="409" t="s">
        <v>729</v>
      </c>
      <c r="B102" s="409"/>
      <c r="C102" s="409"/>
      <c r="D102" s="409"/>
      <c r="E102" s="409"/>
      <c r="F102" s="409"/>
      <c r="G102" s="409"/>
      <c r="H102" s="409"/>
      <c r="I102" s="409"/>
      <c r="J102" s="409"/>
      <c r="K102" s="409"/>
      <c r="L102" s="409"/>
      <c r="M102" s="409"/>
      <c r="N102" s="409"/>
    </row>
    <row r="107" spans="1:14" x14ac:dyDescent="0.4">
      <c r="D107" s="107"/>
      <c r="E107" s="107"/>
    </row>
    <row r="108" spans="1:14" x14ac:dyDescent="0.4">
      <c r="C108" s="230"/>
      <c r="D108" s="230"/>
      <c r="E108" s="107"/>
    </row>
    <row r="110" spans="1:14" x14ac:dyDescent="0.4">
      <c r="C110" s="230"/>
      <c r="D110" s="230"/>
    </row>
  </sheetData>
  <sheetProtection algorithmName="SHA-512" hashValue="76BkMuO+mbM9r825dzHkCCEdGbVb+GQ9i4At2BvFF62EC8O40nOQpsVFJHH0rGHozFEPLxmQFaEmubFOFhUfSg==" saltValue="IWVOwMuacAYEMmIelKZgRw==" spinCount="100000" sheet="1" objects="1" scenarios="1"/>
  <mergeCells count="70">
    <mergeCell ref="C98:G98"/>
    <mergeCell ref="B93:G93"/>
    <mergeCell ref="B94:G94"/>
    <mergeCell ref="B95:G95"/>
    <mergeCell ref="B96:G96"/>
    <mergeCell ref="C97:G97"/>
    <mergeCell ref="B75:N75"/>
    <mergeCell ref="B76:N76"/>
    <mergeCell ref="B78:G78"/>
    <mergeCell ref="B81:B83"/>
    <mergeCell ref="B84:B86"/>
    <mergeCell ref="F68:H68"/>
    <mergeCell ref="I68:K68"/>
    <mergeCell ref="L68:N68"/>
    <mergeCell ref="B72:N72"/>
    <mergeCell ref="B73:N73"/>
    <mergeCell ref="B51:E51"/>
    <mergeCell ref="C62:E62"/>
    <mergeCell ref="B68:B69"/>
    <mergeCell ref="C68:C69"/>
    <mergeCell ref="D68:D69"/>
    <mergeCell ref="E68:E69"/>
    <mergeCell ref="B59:E59"/>
    <mergeCell ref="B39:C39"/>
    <mergeCell ref="B42:E42"/>
    <mergeCell ref="C44:E44"/>
    <mergeCell ref="C45:E45"/>
    <mergeCell ref="B46:E46"/>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 ref="A5:A6"/>
    <mergeCell ref="A8:A9"/>
    <mergeCell ref="A11:A12"/>
    <mergeCell ref="A14:A15"/>
    <mergeCell ref="A17:A23"/>
    <mergeCell ref="A26:A33"/>
    <mergeCell ref="A35:A39"/>
    <mergeCell ref="A42:A46"/>
    <mergeCell ref="A48:A51"/>
    <mergeCell ref="A54:A59"/>
    <mergeCell ref="A64:A76"/>
    <mergeCell ref="A78:A95"/>
    <mergeCell ref="A102:N102"/>
    <mergeCell ref="C58:E58"/>
    <mergeCell ref="B48:E48"/>
    <mergeCell ref="B52:E52"/>
    <mergeCell ref="B54:E54"/>
    <mergeCell ref="B55:B56"/>
    <mergeCell ref="C55:E56"/>
    <mergeCell ref="C57:E57"/>
    <mergeCell ref="B87:B89"/>
    <mergeCell ref="B90:B92"/>
    <mergeCell ref="B74:N74"/>
    <mergeCell ref="B60:E6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N111"/>
  <sheetViews>
    <sheetView topLeftCell="B85" workbookViewId="0">
      <selection activeCell="G88" sqref="G88"/>
    </sheetView>
  </sheetViews>
  <sheetFormatPr defaultColWidth="8.84375" defaultRowHeight="13.25" x14ac:dyDescent="0.4"/>
  <cols>
    <col min="1" max="1" width="8.84375" style="8"/>
    <col min="2" max="2" width="32.69140625" style="8" customWidth="1"/>
    <col min="3" max="5" width="14.07421875" style="8" customWidth="1"/>
    <col min="6" max="6" width="11.3046875" style="8" customWidth="1"/>
    <col min="7" max="7" width="12.69140625" style="8" customWidth="1"/>
    <col min="8" max="16384" width="8.84375" style="8"/>
  </cols>
  <sheetData>
    <row r="1" spans="1:5" x14ac:dyDescent="0.4">
      <c r="A1" s="355" t="s">
        <v>0</v>
      </c>
      <c r="B1" s="355"/>
      <c r="D1" s="1"/>
    </row>
    <row r="3" spans="1:5" ht="38.25" customHeight="1" x14ac:dyDescent="0.4">
      <c r="A3" s="27" t="s">
        <v>1</v>
      </c>
      <c r="B3" s="3" t="s">
        <v>2</v>
      </c>
      <c r="C3" s="4" t="s">
        <v>793</v>
      </c>
    </row>
    <row r="4" spans="1:5" x14ac:dyDescent="0.4">
      <c r="D4" s="5"/>
    </row>
    <row r="5" spans="1:5" x14ac:dyDescent="0.4">
      <c r="A5" s="398">
        <v>1</v>
      </c>
      <c r="B5" s="267" t="s">
        <v>3</v>
      </c>
      <c r="C5" s="356" t="s">
        <v>702</v>
      </c>
      <c r="D5" s="357"/>
      <c r="E5" s="358"/>
    </row>
    <row r="6" spans="1:5" x14ac:dyDescent="0.4">
      <c r="A6" s="398"/>
      <c r="B6" s="362" t="s">
        <v>5</v>
      </c>
      <c r="C6" s="359"/>
      <c r="D6" s="359"/>
      <c r="E6" s="10"/>
    </row>
    <row r="7" spans="1:5" x14ac:dyDescent="0.4">
      <c r="A7" s="9"/>
      <c r="B7" s="11"/>
      <c r="D7" s="5"/>
    </row>
    <row r="8" spans="1:5" x14ac:dyDescent="0.4">
      <c r="A8" s="398">
        <v>2</v>
      </c>
      <c r="B8" s="267" t="s">
        <v>6</v>
      </c>
      <c r="C8" s="12" t="s">
        <v>800</v>
      </c>
      <c r="D8" s="5"/>
    </row>
    <row r="9" spans="1:5" x14ac:dyDescent="0.4">
      <c r="A9" s="398"/>
      <c r="B9" s="361" t="s">
        <v>5</v>
      </c>
      <c r="C9" s="361"/>
      <c r="D9" s="362"/>
    </row>
    <row r="10" spans="1:5" x14ac:dyDescent="0.4">
      <c r="A10" s="9"/>
      <c r="B10" s="11"/>
      <c r="D10" s="5"/>
    </row>
    <row r="11" spans="1:5" ht="25.65" x14ac:dyDescent="0.4">
      <c r="A11" s="398">
        <v>3</v>
      </c>
      <c r="B11" s="267" t="s">
        <v>7</v>
      </c>
      <c r="C11" s="356" t="s">
        <v>1108</v>
      </c>
      <c r="D11" s="357"/>
      <c r="E11" s="358"/>
    </row>
    <row r="12" spans="1:5" x14ac:dyDescent="0.4">
      <c r="A12" s="398"/>
      <c r="B12" s="362" t="s">
        <v>5</v>
      </c>
      <c r="C12" s="359"/>
      <c r="D12" s="359"/>
      <c r="E12" s="10"/>
    </row>
    <row r="13" spans="1:5" x14ac:dyDescent="0.4">
      <c r="A13" s="9"/>
      <c r="B13" s="11"/>
      <c r="D13" s="5"/>
    </row>
    <row r="14" spans="1:5" x14ac:dyDescent="0.4">
      <c r="A14" s="398">
        <v>4</v>
      </c>
      <c r="B14" s="3" t="s">
        <v>9</v>
      </c>
      <c r="C14" s="4" t="s">
        <v>870</v>
      </c>
      <c r="D14" s="5"/>
    </row>
    <row r="15" spans="1:5" x14ac:dyDescent="0.4">
      <c r="A15" s="398"/>
      <c r="B15" s="363" t="s">
        <v>10</v>
      </c>
      <c r="C15" s="364"/>
      <c r="D15" s="5"/>
    </row>
    <row r="16" spans="1:5" x14ac:dyDescent="0.4">
      <c r="A16" s="9"/>
      <c r="D16" s="5"/>
    </row>
    <row r="17" spans="1:14" ht="12.7" customHeight="1" x14ac:dyDescent="0.4">
      <c r="A17" s="398">
        <v>5</v>
      </c>
      <c r="B17" s="365" t="s">
        <v>1082</v>
      </c>
      <c r="C17" s="366"/>
      <c r="D17" s="366"/>
      <c r="E17" s="366"/>
      <c r="F17" s="11"/>
      <c r="G17" s="11"/>
      <c r="H17" s="11"/>
      <c r="I17" s="11"/>
      <c r="J17" s="13"/>
      <c r="K17" s="13"/>
      <c r="L17" s="13"/>
      <c r="M17" s="13"/>
      <c r="N17" s="13"/>
    </row>
    <row r="18" spans="1:14" x14ac:dyDescent="0.4">
      <c r="A18" s="398"/>
      <c r="B18" s="14" t="s">
        <v>12</v>
      </c>
      <c r="C18" s="367" t="s">
        <v>13</v>
      </c>
      <c r="D18" s="367"/>
      <c r="E18" s="367"/>
      <c r="F18" s="15"/>
      <c r="G18" s="13"/>
      <c r="H18" s="13"/>
      <c r="I18" s="13"/>
      <c r="J18" s="13"/>
      <c r="K18" s="13"/>
      <c r="L18" s="13"/>
      <c r="M18" s="13"/>
      <c r="N18" s="13"/>
    </row>
    <row r="19" spans="1:14" ht="38.450000000000003" x14ac:dyDescent="0.4">
      <c r="A19" s="398"/>
      <c r="B19" s="14" t="s">
        <v>1124</v>
      </c>
      <c r="C19" s="354" t="s">
        <v>13</v>
      </c>
      <c r="D19" s="354"/>
      <c r="E19" s="354"/>
      <c r="F19" s="15"/>
      <c r="G19" s="13"/>
      <c r="I19" s="13"/>
      <c r="J19" s="13"/>
      <c r="K19" s="13"/>
      <c r="L19" s="13"/>
      <c r="M19" s="13"/>
      <c r="N19" s="13"/>
    </row>
    <row r="20" spans="1:14" x14ac:dyDescent="0.4">
      <c r="A20" s="398"/>
      <c r="B20" s="14" t="s">
        <v>605</v>
      </c>
      <c r="C20" s="354" t="s">
        <v>13</v>
      </c>
      <c r="D20" s="354"/>
      <c r="E20" s="354"/>
      <c r="F20" s="15"/>
      <c r="G20" s="13"/>
      <c r="H20" s="13"/>
      <c r="I20" s="13"/>
      <c r="J20" s="13"/>
      <c r="K20" s="13"/>
      <c r="L20" s="13"/>
      <c r="M20" s="13"/>
      <c r="N20" s="13"/>
    </row>
    <row r="21" spans="1:14" x14ac:dyDescent="0.4">
      <c r="A21" s="398"/>
      <c r="B21" s="14" t="s">
        <v>15</v>
      </c>
      <c r="C21" s="354" t="s">
        <v>13</v>
      </c>
      <c r="D21" s="354"/>
      <c r="E21" s="354"/>
      <c r="F21" s="15"/>
      <c r="G21" s="13"/>
      <c r="H21" s="13"/>
      <c r="I21" s="13"/>
      <c r="J21" s="13"/>
      <c r="K21" s="13"/>
      <c r="L21" s="13"/>
      <c r="M21" s="13"/>
      <c r="N21" s="13"/>
    </row>
    <row r="22" spans="1:14" x14ac:dyDescent="0.4">
      <c r="A22" s="398"/>
      <c r="B22" s="16" t="s">
        <v>16</v>
      </c>
      <c r="C22" s="354" t="s">
        <v>13</v>
      </c>
      <c r="D22" s="354"/>
      <c r="E22" s="354"/>
      <c r="F22" s="15"/>
      <c r="G22" s="13"/>
      <c r="H22" s="13"/>
      <c r="I22" s="13"/>
      <c r="J22" s="13"/>
      <c r="K22" s="13"/>
      <c r="L22" s="13"/>
      <c r="M22" s="13"/>
      <c r="N22" s="13"/>
    </row>
    <row r="23" spans="1:14" ht="12.7" customHeight="1" x14ac:dyDescent="0.4">
      <c r="A23" s="398"/>
      <c r="B23" s="363" t="s">
        <v>709</v>
      </c>
      <c r="C23" s="368"/>
      <c r="D23" s="368"/>
      <c r="E23" s="36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12.7" customHeight="1" x14ac:dyDescent="0.4">
      <c r="A26" s="398">
        <v>6</v>
      </c>
      <c r="B26" s="365" t="s">
        <v>1083</v>
      </c>
      <c r="C26" s="365"/>
      <c r="D26" s="365"/>
      <c r="E26" s="365"/>
      <c r="F26" s="11"/>
      <c r="G26" s="11"/>
      <c r="H26" s="13"/>
      <c r="I26" s="11"/>
      <c r="J26" s="11"/>
    </row>
    <row r="27" spans="1:14" x14ac:dyDescent="0.4">
      <c r="A27" s="398"/>
      <c r="B27" s="370" t="s">
        <v>801</v>
      </c>
      <c r="C27" s="371"/>
      <c r="D27" s="371"/>
      <c r="E27" s="372"/>
      <c r="F27" s="15"/>
    </row>
    <row r="28" spans="1:14" x14ac:dyDescent="0.4">
      <c r="A28" s="398"/>
      <c r="B28" s="17" t="s">
        <v>20</v>
      </c>
      <c r="C28" s="18" t="s">
        <v>262</v>
      </c>
      <c r="D28" s="18" t="s">
        <v>263</v>
      </c>
      <c r="E28" s="18" t="s">
        <v>23</v>
      </c>
      <c r="F28" s="15"/>
    </row>
    <row r="29" spans="1:14" ht="12.7" customHeight="1" x14ac:dyDescent="0.4">
      <c r="A29" s="398"/>
      <c r="B29" s="19" t="s">
        <v>24</v>
      </c>
      <c r="C29" s="20">
        <v>5510.88</v>
      </c>
      <c r="D29" s="20">
        <v>4108.37</v>
      </c>
      <c r="E29" s="172">
        <v>2873.86</v>
      </c>
      <c r="F29" s="15"/>
    </row>
    <row r="30" spans="1:14" x14ac:dyDescent="0.4">
      <c r="A30" s="398"/>
      <c r="B30" s="19" t="s">
        <v>25</v>
      </c>
      <c r="C30" s="20">
        <v>181.52</v>
      </c>
      <c r="D30" s="20">
        <v>-4.76</v>
      </c>
      <c r="E30" s="21">
        <v>222.41</v>
      </c>
      <c r="F30" s="15"/>
    </row>
    <row r="31" spans="1:14" x14ac:dyDescent="0.4">
      <c r="A31" s="398"/>
      <c r="B31" s="19" t="s">
        <v>26</v>
      </c>
      <c r="C31" s="20">
        <v>616.79</v>
      </c>
      <c r="D31" s="20">
        <v>616.79</v>
      </c>
      <c r="E31" s="172">
        <v>1233.58</v>
      </c>
      <c r="F31" s="15"/>
    </row>
    <row r="32" spans="1:14" x14ac:dyDescent="0.4">
      <c r="A32" s="398"/>
      <c r="B32" s="19" t="s">
        <v>27</v>
      </c>
      <c r="C32" s="20">
        <v>824.51</v>
      </c>
      <c r="D32" s="20">
        <v>819.74</v>
      </c>
      <c r="E32" s="21">
        <v>438.94</v>
      </c>
      <c r="F32" s="15"/>
    </row>
    <row r="33" spans="1:10" ht="12.7" customHeight="1" x14ac:dyDescent="0.4">
      <c r="A33" s="398"/>
      <c r="B33" s="363" t="s">
        <v>709</v>
      </c>
      <c r="C33" s="368"/>
      <c r="D33" s="368"/>
      <c r="E33" s="369"/>
      <c r="F33" s="15"/>
    </row>
    <row r="34" spans="1:10" x14ac:dyDescent="0.4">
      <c r="A34" s="9"/>
      <c r="B34" s="13"/>
      <c r="C34" s="15"/>
      <c r="D34" s="15"/>
      <c r="E34" s="15"/>
      <c r="F34" s="15"/>
    </row>
    <row r="35" spans="1:10" ht="12.7" customHeight="1" x14ac:dyDescent="0.4">
      <c r="A35" s="398">
        <v>7</v>
      </c>
      <c r="B35" s="376" t="s">
        <v>28</v>
      </c>
      <c r="C35" s="365"/>
      <c r="D35" s="365"/>
      <c r="E35" s="365"/>
      <c r="F35" s="11"/>
      <c r="G35" s="11"/>
      <c r="H35" s="11"/>
      <c r="I35" s="11"/>
      <c r="J35" s="11"/>
    </row>
    <row r="36" spans="1:10" x14ac:dyDescent="0.4">
      <c r="A36" s="398"/>
      <c r="B36" s="266" t="s">
        <v>29</v>
      </c>
      <c r="C36" s="20" t="s">
        <v>183</v>
      </c>
      <c r="D36" s="13"/>
      <c r="E36" s="13"/>
      <c r="F36" s="13"/>
    </row>
    <row r="37" spans="1:10" x14ac:dyDescent="0.4">
      <c r="A37" s="398"/>
      <c r="B37" s="266" t="s">
        <v>31</v>
      </c>
      <c r="C37" s="20" t="s">
        <v>183</v>
      </c>
      <c r="D37" s="13"/>
      <c r="E37" s="13"/>
      <c r="F37" s="13"/>
    </row>
    <row r="38" spans="1:10" x14ac:dyDescent="0.4">
      <c r="A38" s="398"/>
      <c r="B38" s="274" t="s">
        <v>32</v>
      </c>
      <c r="C38" s="20" t="s">
        <v>183</v>
      </c>
      <c r="D38" s="13"/>
      <c r="E38" s="13"/>
      <c r="F38" s="13"/>
    </row>
    <row r="39" spans="1:10" ht="12.7" customHeight="1" x14ac:dyDescent="0.4">
      <c r="A39" s="398"/>
      <c r="B39" s="362" t="s">
        <v>559</v>
      </c>
      <c r="C39" s="474"/>
      <c r="D39" s="13"/>
      <c r="E39" s="13"/>
      <c r="F39" s="13"/>
    </row>
    <row r="40" spans="1:10" x14ac:dyDescent="0.4">
      <c r="A40" s="9"/>
      <c r="C40" s="13"/>
      <c r="D40" s="13"/>
      <c r="E40" s="13"/>
      <c r="F40" s="13"/>
    </row>
    <row r="41" spans="1:10" x14ac:dyDescent="0.4">
      <c r="A41" s="9"/>
      <c r="B41" s="15"/>
      <c r="C41" s="13"/>
      <c r="D41" s="13"/>
      <c r="E41" s="13"/>
      <c r="F41" s="13"/>
    </row>
    <row r="42" spans="1:10" ht="12.7" customHeight="1" x14ac:dyDescent="0.4">
      <c r="A42" s="398">
        <v>8</v>
      </c>
      <c r="B42" s="365" t="s">
        <v>1084</v>
      </c>
      <c r="C42" s="365"/>
      <c r="D42" s="365"/>
      <c r="E42" s="365"/>
      <c r="F42" s="11"/>
      <c r="G42" s="11"/>
      <c r="H42" s="11"/>
      <c r="I42" s="11"/>
      <c r="J42" s="11"/>
    </row>
    <row r="43" spans="1:10" ht="49.5" customHeight="1" x14ac:dyDescent="0.4">
      <c r="A43" s="398"/>
      <c r="B43" s="17" t="s">
        <v>34</v>
      </c>
      <c r="C43" s="373" t="s">
        <v>811</v>
      </c>
      <c r="D43" s="374"/>
      <c r="E43" s="375"/>
      <c r="F43" s="13"/>
    </row>
    <row r="44" spans="1:10" x14ac:dyDescent="0.4">
      <c r="A44" s="398"/>
      <c r="B44" s="17" t="s">
        <v>31</v>
      </c>
      <c r="C44" s="373" t="s">
        <v>13</v>
      </c>
      <c r="D44" s="374"/>
      <c r="E44" s="375"/>
      <c r="F44" s="13"/>
    </row>
    <row r="45" spans="1:10" ht="60.75" customHeight="1" x14ac:dyDescent="0.4">
      <c r="A45" s="398"/>
      <c r="B45" s="17" t="s">
        <v>32</v>
      </c>
      <c r="C45" s="446" t="s">
        <v>871</v>
      </c>
      <c r="D45" s="446"/>
      <c r="E45" s="446"/>
      <c r="F45" s="13"/>
    </row>
    <row r="46" spans="1:10" ht="12.7" customHeight="1" x14ac:dyDescent="0.4">
      <c r="A46" s="398"/>
      <c r="B46" s="363" t="s">
        <v>35</v>
      </c>
      <c r="C46" s="368"/>
      <c r="D46" s="368"/>
      <c r="E46" s="369"/>
      <c r="F46" s="13"/>
    </row>
    <row r="47" spans="1:10" x14ac:dyDescent="0.4">
      <c r="A47" s="2"/>
      <c r="D47" s="23"/>
      <c r="E47" s="13"/>
    </row>
    <row r="48" spans="1:10" ht="12.7" customHeight="1" x14ac:dyDescent="0.4">
      <c r="A48" s="398">
        <v>9</v>
      </c>
      <c r="B48" s="376" t="s">
        <v>1085</v>
      </c>
      <c r="C48" s="365"/>
      <c r="D48" s="365"/>
      <c r="E48" s="365"/>
      <c r="F48" s="25"/>
      <c r="G48" s="11"/>
      <c r="H48" s="11"/>
      <c r="I48" s="11"/>
    </row>
    <row r="49" spans="1:14" ht="51.25" x14ac:dyDescent="0.4">
      <c r="A49" s="398"/>
      <c r="B49" s="26" t="s">
        <v>37</v>
      </c>
      <c r="C49" s="27" t="s">
        <v>38</v>
      </c>
      <c r="D49" s="28" t="s">
        <v>39</v>
      </c>
      <c r="E49" s="27" t="s">
        <v>206</v>
      </c>
    </row>
    <row r="50" spans="1:14" ht="145.80000000000001" x14ac:dyDescent="0.4">
      <c r="A50" s="398"/>
      <c r="B50" s="78" t="s">
        <v>307</v>
      </c>
      <c r="C50" s="78" t="s">
        <v>1143</v>
      </c>
      <c r="D50" s="160" t="s">
        <v>1142</v>
      </c>
      <c r="E50" s="117" t="s">
        <v>186</v>
      </c>
    </row>
    <row r="51" spans="1:14" ht="12.7" customHeight="1" x14ac:dyDescent="0.4">
      <c r="A51" s="268"/>
      <c r="B51" s="475" t="s">
        <v>799</v>
      </c>
      <c r="C51" s="476"/>
      <c r="D51" s="476"/>
      <c r="E51" s="477"/>
      <c r="F51" s="15"/>
      <c r="G51" s="15"/>
      <c r="H51" s="15"/>
    </row>
    <row r="52" spans="1:14" x14ac:dyDescent="0.4">
      <c r="A52" s="36"/>
      <c r="B52" s="62"/>
      <c r="C52" s="23"/>
      <c r="D52" s="23"/>
      <c r="E52" s="23"/>
      <c r="F52" s="15"/>
      <c r="G52" s="15"/>
      <c r="H52" s="15"/>
      <c r="I52" s="15"/>
    </row>
    <row r="53" spans="1:14" ht="12.7" customHeight="1" x14ac:dyDescent="0.4">
      <c r="A53" s="398">
        <v>10</v>
      </c>
      <c r="B53" s="376" t="s">
        <v>1085</v>
      </c>
      <c r="C53" s="365"/>
      <c r="D53" s="365"/>
      <c r="E53" s="365"/>
      <c r="F53" s="15"/>
      <c r="G53" s="15"/>
      <c r="H53" s="15"/>
    </row>
    <row r="54" spans="1:14" ht="12.7" customHeight="1" x14ac:dyDescent="0.4">
      <c r="A54" s="398"/>
      <c r="B54" s="383" t="s">
        <v>43</v>
      </c>
      <c r="C54" s="385" t="s">
        <v>872</v>
      </c>
      <c r="D54" s="386"/>
      <c r="E54" s="387"/>
      <c r="K54" s="1"/>
    </row>
    <row r="55" spans="1:14" x14ac:dyDescent="0.4">
      <c r="A55" s="398"/>
      <c r="B55" s="384"/>
      <c r="C55" s="388"/>
      <c r="D55" s="389"/>
      <c r="E55" s="390"/>
      <c r="K55" s="1"/>
    </row>
    <row r="56" spans="1:14" ht="62.3" customHeight="1" x14ac:dyDescent="0.4">
      <c r="A56" s="398"/>
      <c r="B56" s="33" t="s">
        <v>44</v>
      </c>
      <c r="C56" s="391" t="s">
        <v>1138</v>
      </c>
      <c r="D56" s="391"/>
      <c r="E56" s="391"/>
    </row>
    <row r="57" spans="1:14" x14ac:dyDescent="0.4">
      <c r="A57" s="398"/>
      <c r="B57" s="33" t="s">
        <v>45</v>
      </c>
      <c r="C57" s="471" t="s">
        <v>186</v>
      </c>
      <c r="D57" s="472"/>
      <c r="E57" s="473"/>
      <c r="K57" s="34"/>
    </row>
    <row r="58" spans="1:14" ht="12.7" customHeight="1" x14ac:dyDescent="0.4">
      <c r="A58" s="398"/>
      <c r="B58" s="380" t="s">
        <v>799</v>
      </c>
      <c r="C58" s="381"/>
      <c r="D58" s="381"/>
      <c r="E58" s="382"/>
      <c r="K58" s="34"/>
    </row>
    <row r="59" spans="1:14" s="63" customFormat="1" x14ac:dyDescent="0.35">
      <c r="A59" s="398"/>
      <c r="B59" s="392" t="s">
        <v>48</v>
      </c>
      <c r="C59" s="392"/>
      <c r="D59" s="392"/>
      <c r="E59" s="392"/>
    </row>
    <row r="60" spans="1:14" x14ac:dyDescent="0.4">
      <c r="A60" s="40"/>
      <c r="B60" s="41"/>
      <c r="C60" s="42"/>
      <c r="D60" s="42"/>
      <c r="E60" s="42"/>
      <c r="F60" s="42"/>
    </row>
    <row r="61" spans="1:14" ht="12.7" customHeight="1" x14ac:dyDescent="0.4">
      <c r="A61" s="18">
        <v>11</v>
      </c>
      <c r="B61" s="3" t="s">
        <v>49</v>
      </c>
      <c r="C61" s="393" t="s">
        <v>1037</v>
      </c>
      <c r="D61" s="393"/>
      <c r="E61" s="393"/>
      <c r="F61" s="11"/>
      <c r="G61" s="11"/>
      <c r="H61" s="43"/>
      <c r="I61" s="11"/>
      <c r="J61" s="11"/>
    </row>
    <row r="62" spans="1:14" x14ac:dyDescent="0.4">
      <c r="A62" s="9"/>
      <c r="B62" s="15"/>
      <c r="C62" s="15"/>
      <c r="D62" s="15"/>
      <c r="E62" s="15"/>
      <c r="F62" s="15"/>
      <c r="G62" s="15"/>
      <c r="H62" s="44"/>
      <c r="I62" s="44"/>
      <c r="J62" s="15"/>
    </row>
    <row r="63" spans="1:14" x14ac:dyDescent="0.4">
      <c r="A63" s="398">
        <v>12</v>
      </c>
      <c r="B63" s="11" t="s">
        <v>51</v>
      </c>
      <c r="C63" s="11"/>
      <c r="D63" s="11"/>
      <c r="E63" s="43"/>
      <c r="F63" s="43"/>
      <c r="G63" s="11"/>
      <c r="H63" s="11"/>
      <c r="I63" s="11"/>
      <c r="J63" s="11"/>
      <c r="K63" s="11"/>
      <c r="L63" s="11"/>
      <c r="M63" s="11"/>
      <c r="N63" s="11"/>
    </row>
    <row r="64" spans="1:14" x14ac:dyDescent="0.4">
      <c r="A64" s="398"/>
      <c r="B64" s="11"/>
      <c r="C64" s="11"/>
      <c r="D64" s="11"/>
      <c r="E64" s="43"/>
      <c r="F64" s="43"/>
      <c r="G64" s="43"/>
      <c r="H64" s="11"/>
      <c r="I64" s="11"/>
      <c r="J64" s="11"/>
      <c r="K64" s="11"/>
      <c r="L64" s="11"/>
      <c r="M64" s="11"/>
      <c r="N64" s="11"/>
    </row>
    <row r="65" spans="1:14" x14ac:dyDescent="0.4">
      <c r="A65" s="398"/>
      <c r="B65" s="266" t="s">
        <v>52</v>
      </c>
      <c r="C65" s="19" t="s">
        <v>798</v>
      </c>
      <c r="D65" s="15"/>
      <c r="E65" s="15"/>
      <c r="F65" s="44"/>
      <c r="G65" s="44"/>
      <c r="H65" s="15"/>
      <c r="I65" s="15"/>
      <c r="J65" s="15"/>
      <c r="K65" s="15"/>
      <c r="L65" s="15"/>
      <c r="M65" s="15"/>
      <c r="N65" s="15"/>
    </row>
    <row r="66" spans="1:14" x14ac:dyDescent="0.4">
      <c r="A66" s="398"/>
      <c r="B66" s="15"/>
      <c r="C66" s="15"/>
      <c r="D66" s="118"/>
      <c r="E66" s="118"/>
      <c r="F66" s="15"/>
      <c r="G66" s="15"/>
      <c r="H66" s="15"/>
      <c r="I66" s="15"/>
      <c r="J66" s="15"/>
      <c r="K66" s="15"/>
      <c r="L66" s="15"/>
      <c r="M66" s="15"/>
      <c r="N66" s="15"/>
    </row>
    <row r="67" spans="1:14" ht="12.7" customHeight="1" x14ac:dyDescent="0.4">
      <c r="A67" s="398"/>
      <c r="B67" s="376" t="s">
        <v>53</v>
      </c>
      <c r="C67" s="366" t="s">
        <v>797</v>
      </c>
      <c r="D67" s="366" t="s">
        <v>271</v>
      </c>
      <c r="E67" s="403" t="s">
        <v>232</v>
      </c>
      <c r="F67" s="395" t="s">
        <v>873</v>
      </c>
      <c r="G67" s="396"/>
      <c r="H67" s="397"/>
      <c r="I67" s="398" t="s">
        <v>865</v>
      </c>
      <c r="J67" s="398"/>
      <c r="K67" s="398"/>
      <c r="L67" s="398" t="s">
        <v>56</v>
      </c>
      <c r="M67" s="398"/>
      <c r="N67" s="398"/>
    </row>
    <row r="68" spans="1:14" ht="38.450000000000003" x14ac:dyDescent="0.4">
      <c r="A68" s="398"/>
      <c r="B68" s="376"/>
      <c r="C68" s="402"/>
      <c r="D68" s="402"/>
      <c r="E68" s="404"/>
      <c r="F68" s="17" t="s">
        <v>57</v>
      </c>
      <c r="G68" s="17" t="s">
        <v>58</v>
      </c>
      <c r="H68" s="17" t="s">
        <v>59</v>
      </c>
      <c r="I68" s="17" t="s">
        <v>60</v>
      </c>
      <c r="J68" s="17" t="s">
        <v>58</v>
      </c>
      <c r="K68" s="17" t="s">
        <v>59</v>
      </c>
      <c r="L68" s="17" t="s">
        <v>60</v>
      </c>
      <c r="M68" s="17" t="s">
        <v>58</v>
      </c>
      <c r="N68" s="17" t="s">
        <v>59</v>
      </c>
    </row>
    <row r="69" spans="1:14" x14ac:dyDescent="0.4">
      <c r="A69" s="398"/>
      <c r="B69" s="266" t="s">
        <v>61</v>
      </c>
      <c r="C69" s="111">
        <v>114.75</v>
      </c>
      <c r="D69" s="45">
        <v>172</v>
      </c>
      <c r="E69" s="45">
        <v>121.05</v>
      </c>
      <c r="F69" s="45">
        <v>47.55</v>
      </c>
      <c r="G69" s="45">
        <v>81.900000000000006</v>
      </c>
      <c r="H69" s="45">
        <v>30</v>
      </c>
      <c r="I69" s="45">
        <v>75.05</v>
      </c>
      <c r="J69" s="45">
        <v>87.5</v>
      </c>
      <c r="K69" s="45">
        <v>48.25</v>
      </c>
      <c r="L69" s="45">
        <v>5.42</v>
      </c>
      <c r="M69" s="272">
        <v>137.69999999999999</v>
      </c>
      <c r="N69" s="272">
        <v>5.14</v>
      </c>
    </row>
    <row r="70" spans="1:14" ht="25.65" x14ac:dyDescent="0.4">
      <c r="A70" s="398"/>
      <c r="B70" s="266" t="s">
        <v>216</v>
      </c>
      <c r="C70" s="111">
        <v>38720.57</v>
      </c>
      <c r="D70" s="111">
        <v>36699.839999999997</v>
      </c>
      <c r="E70" s="45">
        <v>37673.31</v>
      </c>
      <c r="F70" s="45">
        <v>29468.49</v>
      </c>
      <c r="G70" s="45">
        <v>42273.87</v>
      </c>
      <c r="H70" s="45">
        <v>25638.9</v>
      </c>
      <c r="I70" s="46">
        <v>49509.15</v>
      </c>
      <c r="J70" s="46">
        <v>52516.76</v>
      </c>
      <c r="K70" s="46">
        <v>27500.79</v>
      </c>
      <c r="L70" s="45">
        <v>58568.51</v>
      </c>
      <c r="M70" s="45">
        <v>62245.43</v>
      </c>
      <c r="N70" s="45">
        <v>47204.5</v>
      </c>
    </row>
    <row r="71" spans="1:14" x14ac:dyDescent="0.4">
      <c r="A71" s="398"/>
      <c r="B71" s="467" t="s">
        <v>17</v>
      </c>
      <c r="C71" s="459"/>
      <c r="D71" s="459"/>
      <c r="E71" s="401"/>
      <c r="F71" s="401"/>
      <c r="G71" s="401"/>
      <c r="H71" s="401"/>
      <c r="I71" s="401"/>
      <c r="J71" s="401"/>
      <c r="K71" s="401"/>
      <c r="L71" s="401"/>
      <c r="M71" s="401"/>
      <c r="N71" s="401"/>
    </row>
    <row r="72" spans="1:14" ht="12.7" customHeight="1" x14ac:dyDescent="0.4">
      <c r="A72" s="398"/>
      <c r="B72" s="362" t="s">
        <v>63</v>
      </c>
      <c r="C72" s="359"/>
      <c r="D72" s="359"/>
      <c r="E72" s="359"/>
      <c r="F72" s="359"/>
      <c r="G72" s="359"/>
      <c r="H72" s="359"/>
      <c r="I72" s="359"/>
      <c r="J72" s="359"/>
      <c r="K72" s="359"/>
      <c r="L72" s="359"/>
      <c r="M72" s="359"/>
      <c r="N72" s="359"/>
    </row>
    <row r="73" spans="1:14" s="1" customFormat="1" ht="12.7" customHeight="1" x14ac:dyDescent="0.4">
      <c r="A73" s="398"/>
      <c r="B73" s="362" t="s">
        <v>64</v>
      </c>
      <c r="C73" s="359"/>
      <c r="D73" s="359"/>
      <c r="E73" s="359"/>
      <c r="F73" s="359"/>
      <c r="G73" s="359"/>
      <c r="H73" s="359"/>
      <c r="I73" s="359"/>
      <c r="J73" s="359"/>
      <c r="K73" s="359"/>
      <c r="L73" s="359"/>
      <c r="M73" s="359"/>
      <c r="N73" s="359"/>
    </row>
    <row r="74" spans="1:14" ht="12.7" customHeight="1" x14ac:dyDescent="0.4">
      <c r="A74" s="398"/>
      <c r="B74" s="362" t="s">
        <v>358</v>
      </c>
      <c r="C74" s="359"/>
      <c r="D74" s="359"/>
      <c r="E74" s="359"/>
      <c r="F74" s="359"/>
      <c r="G74" s="359"/>
      <c r="H74" s="359"/>
      <c r="I74" s="359"/>
      <c r="J74" s="359"/>
      <c r="K74" s="359"/>
      <c r="L74" s="359"/>
      <c r="M74" s="359"/>
      <c r="N74" s="359"/>
    </row>
    <row r="75" spans="1:14" ht="12.7" customHeight="1" x14ac:dyDescent="0.4">
      <c r="A75" s="398"/>
      <c r="B75" s="362"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ht="42" customHeight="1" x14ac:dyDescent="0.4">
      <c r="A77" s="398">
        <v>13</v>
      </c>
      <c r="B77" s="406" t="s">
        <v>66</v>
      </c>
      <c r="C77" s="406"/>
      <c r="D77" s="406"/>
      <c r="E77" s="406"/>
      <c r="F77" s="406"/>
      <c r="G77" s="376"/>
      <c r="H77" s="11"/>
      <c r="I77" s="11"/>
      <c r="J77" s="11"/>
      <c r="K77" s="11"/>
      <c r="L77" s="11"/>
      <c r="M77" s="11"/>
      <c r="N77" s="11"/>
    </row>
    <row r="78" spans="1:14" x14ac:dyDescent="0.4">
      <c r="A78" s="398"/>
      <c r="C78" s="15"/>
      <c r="D78" s="15"/>
      <c r="E78" s="15"/>
      <c r="F78" s="15"/>
      <c r="G78" s="15"/>
      <c r="H78" s="15"/>
      <c r="I78" s="15"/>
      <c r="J78" s="15"/>
      <c r="K78" s="15"/>
      <c r="L78" s="15"/>
      <c r="M78" s="15"/>
      <c r="N78" s="15"/>
    </row>
    <row r="79" spans="1:14" ht="38.450000000000003" x14ac:dyDescent="0.4">
      <c r="A79" s="398"/>
      <c r="B79" s="269" t="s">
        <v>67</v>
      </c>
      <c r="C79" s="18" t="s">
        <v>68</v>
      </c>
      <c r="D79" s="18" t="s">
        <v>1127</v>
      </c>
      <c r="E79" s="18" t="s">
        <v>218</v>
      </c>
      <c r="F79" s="18" t="s">
        <v>71</v>
      </c>
      <c r="G79" s="18" t="s">
        <v>107</v>
      </c>
      <c r="H79" s="13"/>
      <c r="I79" s="13"/>
      <c r="J79" s="13"/>
      <c r="K79" s="13"/>
      <c r="L79" s="13"/>
      <c r="M79" s="13"/>
      <c r="N79" s="13"/>
    </row>
    <row r="80" spans="1:14" ht="12.7" customHeight="1" x14ac:dyDescent="0.35">
      <c r="A80" s="398"/>
      <c r="B80" s="468" t="s">
        <v>72</v>
      </c>
      <c r="C80" s="3" t="s">
        <v>796</v>
      </c>
      <c r="D80" s="65">
        <v>3.5</v>
      </c>
      <c r="E80" s="65">
        <v>2.94</v>
      </c>
      <c r="F80" s="77">
        <v>0.14000000000000001</v>
      </c>
      <c r="G80" s="66">
        <v>0.36</v>
      </c>
      <c r="H80" s="53"/>
      <c r="I80" s="53"/>
      <c r="J80" s="53"/>
      <c r="K80" s="53"/>
      <c r="L80" s="53"/>
      <c r="M80" s="53"/>
      <c r="N80" s="53"/>
    </row>
    <row r="81" spans="1:14" x14ac:dyDescent="0.4">
      <c r="A81" s="398"/>
      <c r="B81" s="468"/>
      <c r="C81" s="3" t="s">
        <v>73</v>
      </c>
      <c r="D81" s="54"/>
      <c r="E81" s="54"/>
      <c r="F81" s="54"/>
      <c r="G81" s="66"/>
      <c r="H81" s="53"/>
      <c r="I81" s="53"/>
      <c r="J81" s="53"/>
      <c r="K81" s="53"/>
      <c r="L81" s="53"/>
      <c r="M81" s="53"/>
      <c r="N81" s="53"/>
    </row>
    <row r="82" spans="1:14" ht="26.5" x14ac:dyDescent="0.4">
      <c r="A82" s="398"/>
      <c r="B82" s="468"/>
      <c r="C82" s="21" t="s">
        <v>795</v>
      </c>
      <c r="D82" s="54">
        <v>1.41</v>
      </c>
      <c r="E82" s="54">
        <v>0.03</v>
      </c>
      <c r="F82" s="54">
        <v>0.99</v>
      </c>
      <c r="G82" s="70">
        <v>1.3317803272131903</v>
      </c>
      <c r="H82" s="53"/>
      <c r="I82" s="53"/>
      <c r="J82" s="53"/>
      <c r="K82" s="53"/>
      <c r="L82" s="53"/>
      <c r="M82" s="53"/>
      <c r="N82" s="53"/>
    </row>
    <row r="83" spans="1:14" x14ac:dyDescent="0.4">
      <c r="A83" s="398"/>
      <c r="B83" s="468"/>
      <c r="C83" s="3" t="s">
        <v>74</v>
      </c>
      <c r="D83" s="76"/>
      <c r="E83" s="127">
        <v>0.03</v>
      </c>
      <c r="F83" s="127">
        <v>0.99</v>
      </c>
      <c r="G83" s="79">
        <v>1.33</v>
      </c>
      <c r="H83" s="53"/>
      <c r="I83" s="53"/>
      <c r="J83" s="53"/>
      <c r="K83" s="53"/>
      <c r="L83" s="53"/>
      <c r="M83" s="53"/>
      <c r="N83" s="53"/>
    </row>
    <row r="84" spans="1:14" ht="39.75" x14ac:dyDescent="0.35">
      <c r="A84" s="398"/>
      <c r="B84" s="468" t="s">
        <v>75</v>
      </c>
      <c r="C84" s="3" t="s">
        <v>796</v>
      </c>
      <c r="D84" s="65">
        <v>10.29</v>
      </c>
      <c r="E84" s="77">
        <f>F69/E80</f>
        <v>16.173469387755102</v>
      </c>
      <c r="F84" s="77">
        <f>I69/F80</f>
        <v>536.07142857142856</v>
      </c>
      <c r="G84" s="70">
        <f>L69/G80</f>
        <v>15.055555555555555</v>
      </c>
      <c r="H84" s="53"/>
      <c r="I84" s="53"/>
      <c r="J84" s="53"/>
      <c r="K84" s="53"/>
      <c r="L84" s="53"/>
      <c r="M84" s="53"/>
      <c r="N84" s="53"/>
    </row>
    <row r="85" spans="1:14" x14ac:dyDescent="0.4">
      <c r="A85" s="398"/>
      <c r="B85" s="468"/>
      <c r="C85" s="3" t="s">
        <v>73</v>
      </c>
      <c r="D85" s="54"/>
      <c r="E85" s="54"/>
      <c r="F85" s="54"/>
      <c r="G85" s="66"/>
      <c r="H85" s="53"/>
      <c r="I85" s="53"/>
      <c r="J85" s="53"/>
      <c r="K85" s="53"/>
      <c r="L85" s="53"/>
      <c r="M85" s="53"/>
      <c r="N85" s="53"/>
    </row>
    <row r="86" spans="1:14" ht="26.5" x14ac:dyDescent="0.4">
      <c r="A86" s="398"/>
      <c r="B86" s="468"/>
      <c r="C86" s="21" t="s">
        <v>795</v>
      </c>
      <c r="D86" s="54">
        <v>22.77</v>
      </c>
      <c r="E86" s="54">
        <v>1288.3499999999999</v>
      </c>
      <c r="F86" s="54">
        <f>50.05/F82</f>
        <v>50.55555555555555</v>
      </c>
      <c r="G86" s="70">
        <v>35.5990312236287</v>
      </c>
      <c r="H86" s="53"/>
      <c r="I86" s="53"/>
      <c r="J86" s="53"/>
      <c r="K86" s="53"/>
      <c r="L86" s="53"/>
      <c r="M86" s="53"/>
      <c r="N86" s="53"/>
    </row>
    <row r="87" spans="1:14" x14ac:dyDescent="0.4">
      <c r="A87" s="398"/>
      <c r="B87" s="468"/>
      <c r="C87" s="3" t="s">
        <v>74</v>
      </c>
      <c r="D87" s="76"/>
      <c r="E87" s="127">
        <f>SUM(E86)/1</f>
        <v>1288.3499999999999</v>
      </c>
      <c r="F87" s="127">
        <f>F86</f>
        <v>50.55555555555555</v>
      </c>
      <c r="G87" s="79">
        <v>35.6</v>
      </c>
      <c r="H87" s="53"/>
      <c r="I87" s="53"/>
      <c r="J87" s="53"/>
      <c r="K87" s="53"/>
      <c r="L87" s="53"/>
      <c r="M87" s="53"/>
      <c r="N87" s="53"/>
    </row>
    <row r="88" spans="1:14" ht="39.75" x14ac:dyDescent="0.35">
      <c r="A88" s="398"/>
      <c r="B88" s="468" t="s">
        <v>76</v>
      </c>
      <c r="C88" s="3" t="s">
        <v>796</v>
      </c>
      <c r="D88" s="65">
        <v>20.34</v>
      </c>
      <c r="E88" s="77">
        <f>181.52/1441.3*100</f>
        <v>12.594185804482066</v>
      </c>
      <c r="F88" s="77">
        <f>-4.76/1436.53*100</f>
        <v>-0.33135402671715875</v>
      </c>
      <c r="G88" s="71">
        <f>222.41/1672.521</f>
        <v>0.132978898321755</v>
      </c>
      <c r="H88" s="53"/>
      <c r="I88" s="53"/>
      <c r="J88" s="53"/>
      <c r="K88" s="53"/>
      <c r="L88" s="53"/>
      <c r="M88" s="53"/>
      <c r="N88" s="53"/>
    </row>
    <row r="89" spans="1:14" x14ac:dyDescent="0.4">
      <c r="A89" s="398"/>
      <c r="B89" s="468"/>
      <c r="C89" s="3" t="s">
        <v>73</v>
      </c>
      <c r="D89" s="54"/>
      <c r="E89" s="54"/>
      <c r="F89" s="54"/>
      <c r="G89" s="66"/>
      <c r="H89" s="53"/>
      <c r="I89" s="53"/>
      <c r="J89" s="53"/>
      <c r="K89" s="53"/>
      <c r="L89" s="53"/>
      <c r="M89" s="53"/>
      <c r="N89" s="53"/>
    </row>
    <row r="90" spans="1:14" ht="26.5" x14ac:dyDescent="0.4">
      <c r="A90" s="398"/>
      <c r="B90" s="468"/>
      <c r="C90" s="21" t="s">
        <v>795</v>
      </c>
      <c r="D90" s="54">
        <v>3.87</v>
      </c>
      <c r="E90" s="54">
        <v>0.15</v>
      </c>
      <c r="F90" s="54">
        <v>4.67</v>
      </c>
      <c r="G90" s="70">
        <v>4.7774337751011897</v>
      </c>
      <c r="H90" s="53"/>
      <c r="I90" s="53"/>
      <c r="J90" s="53"/>
      <c r="K90" s="53"/>
      <c r="L90" s="53"/>
      <c r="M90" s="53"/>
      <c r="N90" s="53"/>
    </row>
    <row r="91" spans="1:14" x14ac:dyDescent="0.4">
      <c r="A91" s="398"/>
      <c r="B91" s="468"/>
      <c r="C91" s="3" t="s">
        <v>74</v>
      </c>
      <c r="D91" s="76"/>
      <c r="E91" s="127">
        <v>0.15</v>
      </c>
      <c r="F91" s="127">
        <v>4.67</v>
      </c>
      <c r="G91" s="79">
        <v>4.78</v>
      </c>
      <c r="H91" s="53"/>
      <c r="I91" s="53"/>
      <c r="J91" s="53"/>
      <c r="K91" s="57"/>
      <c r="L91" s="53"/>
      <c r="M91" s="53"/>
      <c r="N91" s="53"/>
    </row>
    <row r="92" spans="1:14" ht="39.75" x14ac:dyDescent="0.35">
      <c r="A92" s="398"/>
      <c r="B92" s="468" t="s">
        <v>77</v>
      </c>
      <c r="C92" s="3" t="s">
        <v>796</v>
      </c>
      <c r="D92" s="65">
        <v>136.46</v>
      </c>
      <c r="E92" s="77">
        <f>1441.3/61.679</f>
        <v>23.3677588806563</v>
      </c>
      <c r="F92" s="77">
        <f>1436.53/61.679</f>
        <v>23.290422996481784</v>
      </c>
      <c r="G92" s="234">
        <f>1672.521*100000/61679100</f>
        <v>2.7116494890489649</v>
      </c>
      <c r="H92" s="53"/>
      <c r="I92" s="53"/>
      <c r="J92" s="53"/>
      <c r="K92" s="53"/>
      <c r="L92" s="53"/>
      <c r="M92" s="53"/>
      <c r="N92" s="53"/>
    </row>
    <row r="93" spans="1:14" x14ac:dyDescent="0.4">
      <c r="A93" s="398"/>
      <c r="B93" s="468"/>
      <c r="C93" s="3" t="s">
        <v>73</v>
      </c>
      <c r="D93" s="54"/>
      <c r="E93" s="54"/>
      <c r="F93" s="54"/>
      <c r="G93" s="66"/>
      <c r="H93" s="53"/>
      <c r="I93" s="53"/>
      <c r="J93" s="53"/>
      <c r="K93" s="53"/>
      <c r="L93" s="53"/>
      <c r="M93" s="53"/>
      <c r="N93" s="53"/>
    </row>
    <row r="94" spans="1:14" ht="26.5" x14ac:dyDescent="0.4">
      <c r="A94" s="398"/>
      <c r="B94" s="470"/>
      <c r="C94" s="21" t="s">
        <v>795</v>
      </c>
      <c r="D94" s="54">
        <v>25.83</v>
      </c>
      <c r="E94" s="54">
        <v>20.27</v>
      </c>
      <c r="F94" s="54">
        <v>21.26</v>
      </c>
      <c r="G94" s="70">
        <v>20.156524432040204</v>
      </c>
      <c r="H94" s="53"/>
      <c r="I94" s="53"/>
      <c r="J94" s="53"/>
      <c r="K94" s="53"/>
      <c r="L94" s="53"/>
      <c r="M94" s="53"/>
      <c r="N94" s="53"/>
    </row>
    <row r="95" spans="1:14" x14ac:dyDescent="0.4">
      <c r="A95" s="398"/>
      <c r="B95" s="470"/>
      <c r="C95" s="3" t="s">
        <v>74</v>
      </c>
      <c r="D95" s="76"/>
      <c r="E95" s="127">
        <v>20.27</v>
      </c>
      <c r="F95" s="127">
        <v>21.26</v>
      </c>
      <c r="G95" s="79">
        <v>20.16</v>
      </c>
      <c r="H95" s="53"/>
      <c r="I95" s="53"/>
      <c r="J95" s="53"/>
      <c r="K95" s="53"/>
      <c r="L95" s="53"/>
      <c r="M95" s="53"/>
      <c r="N95" s="53"/>
    </row>
    <row r="96" spans="1:14" s="1" customFormat="1" x14ac:dyDescent="0.4">
      <c r="A96" s="398"/>
      <c r="B96" s="469"/>
      <c r="C96" s="413"/>
      <c r="D96" s="413"/>
      <c r="E96" s="413"/>
      <c r="F96" s="413"/>
      <c r="G96" s="414"/>
    </row>
    <row r="97" spans="1:14" ht="12.7" customHeight="1" x14ac:dyDescent="0.4">
      <c r="A97" s="398"/>
      <c r="B97" s="416" t="s">
        <v>794</v>
      </c>
      <c r="C97" s="416"/>
      <c r="D97" s="416"/>
      <c r="E97" s="416"/>
      <c r="F97" s="416"/>
      <c r="G97" s="417"/>
      <c r="H97" s="53"/>
      <c r="I97" s="53"/>
      <c r="J97" s="53"/>
      <c r="K97" s="53"/>
      <c r="L97" s="53"/>
      <c r="M97" s="53"/>
      <c r="N97" s="53"/>
    </row>
    <row r="98" spans="1:14" ht="12.7" customHeight="1" x14ac:dyDescent="0.4">
      <c r="A98" s="398"/>
      <c r="B98" s="419" t="s">
        <v>85</v>
      </c>
      <c r="C98" s="419"/>
      <c r="D98" s="419"/>
      <c r="E98" s="419"/>
      <c r="F98" s="419"/>
      <c r="G98" s="420"/>
      <c r="H98" s="53"/>
      <c r="I98" s="53"/>
      <c r="J98" s="53"/>
      <c r="K98" s="53"/>
      <c r="L98" s="53"/>
      <c r="M98" s="53"/>
      <c r="N98" s="53"/>
    </row>
    <row r="99" spans="1:14" x14ac:dyDescent="0.4">
      <c r="A99" s="2"/>
      <c r="B99" s="363"/>
      <c r="C99" s="368"/>
      <c r="D99" s="368"/>
      <c r="E99" s="368"/>
      <c r="F99" s="368"/>
      <c r="G99" s="369"/>
      <c r="H99" s="53"/>
      <c r="I99" s="53"/>
      <c r="J99" s="53"/>
      <c r="K99" s="53"/>
      <c r="L99" s="53"/>
      <c r="M99" s="53"/>
      <c r="N99" s="53"/>
    </row>
    <row r="100" spans="1:14" x14ac:dyDescent="0.4">
      <c r="C100" s="407"/>
      <c r="D100" s="407"/>
      <c r="E100" s="407"/>
      <c r="F100" s="407"/>
      <c r="G100" s="407"/>
      <c r="H100" s="53"/>
      <c r="I100" s="53"/>
    </row>
    <row r="101" spans="1:14" x14ac:dyDescent="0.4">
      <c r="A101" s="9">
        <v>14</v>
      </c>
      <c r="B101" s="61" t="s">
        <v>78</v>
      </c>
      <c r="C101" s="356" t="s">
        <v>41</v>
      </c>
      <c r="D101" s="357"/>
      <c r="E101" s="357"/>
      <c r="F101" s="357"/>
      <c r="G101" s="408"/>
    </row>
    <row r="102" spans="1:14" x14ac:dyDescent="0.4">
      <c r="A102" s="23"/>
      <c r="C102" s="69"/>
      <c r="D102" s="69"/>
      <c r="E102" s="69"/>
      <c r="F102" s="69"/>
      <c r="G102" s="69"/>
    </row>
    <row r="103" spans="1:14" x14ac:dyDescent="0.4">
      <c r="C103" s="69"/>
      <c r="D103" s="69"/>
      <c r="E103" s="69"/>
      <c r="F103" s="69"/>
      <c r="G103" s="69"/>
    </row>
    <row r="105" spans="1:14" ht="12.7" customHeight="1" x14ac:dyDescent="0.4">
      <c r="B105" s="409" t="s">
        <v>1135</v>
      </c>
      <c r="C105" s="410"/>
      <c r="D105" s="410"/>
      <c r="E105" s="410"/>
      <c r="F105" s="410"/>
      <c r="G105" s="410"/>
      <c r="H105" s="410"/>
    </row>
    <row r="108" spans="1:14" x14ac:dyDescent="0.4">
      <c r="C108" s="230"/>
      <c r="D108" s="230"/>
      <c r="E108" s="271"/>
    </row>
    <row r="110" spans="1:14" x14ac:dyDescent="0.4">
      <c r="C110" s="230"/>
      <c r="D110" s="107"/>
      <c r="E110" s="107"/>
    </row>
    <row r="111" spans="1:14" x14ac:dyDescent="0.4">
      <c r="E111" s="107"/>
    </row>
  </sheetData>
  <sheetProtection password="EF0F" sheet="1" objects="1" scenarios="1"/>
  <mergeCells count="70">
    <mergeCell ref="C101:G101"/>
    <mergeCell ref="B105:H105"/>
    <mergeCell ref="B92:B95"/>
    <mergeCell ref="B96:G96"/>
    <mergeCell ref="B97:G97"/>
    <mergeCell ref="B98:G98"/>
    <mergeCell ref="B99:G99"/>
    <mergeCell ref="C100:G100"/>
    <mergeCell ref="B88:B91"/>
    <mergeCell ref="F67:H67"/>
    <mergeCell ref="I67:K67"/>
    <mergeCell ref="L67:N67"/>
    <mergeCell ref="B71:N71"/>
    <mergeCell ref="B72:N72"/>
    <mergeCell ref="B73:N73"/>
    <mergeCell ref="B74:N74"/>
    <mergeCell ref="B75:N75"/>
    <mergeCell ref="B77:G77"/>
    <mergeCell ref="B80:B83"/>
    <mergeCell ref="B84:B87"/>
    <mergeCell ref="C57:E57"/>
    <mergeCell ref="B58:E58"/>
    <mergeCell ref="B59:E59"/>
    <mergeCell ref="C61:E61"/>
    <mergeCell ref="B67:B68"/>
    <mergeCell ref="C67:C68"/>
    <mergeCell ref="D67:D68"/>
    <mergeCell ref="E67:E68"/>
    <mergeCell ref="C56:E56"/>
    <mergeCell ref="B39:C39"/>
    <mergeCell ref="B42:E42"/>
    <mergeCell ref="C43:E43"/>
    <mergeCell ref="C44:E44"/>
    <mergeCell ref="C45:E45"/>
    <mergeCell ref="B46:E46"/>
    <mergeCell ref="B48:E48"/>
    <mergeCell ref="B51:E51"/>
    <mergeCell ref="B53:E53"/>
    <mergeCell ref="B54:B55"/>
    <mergeCell ref="C54:E55"/>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 ref="A5:A6"/>
    <mergeCell ref="A8:A9"/>
    <mergeCell ref="A11:A12"/>
    <mergeCell ref="A48:A50"/>
    <mergeCell ref="A53:A59"/>
    <mergeCell ref="A63:A75"/>
    <mergeCell ref="A77:A98"/>
    <mergeCell ref="A14:A15"/>
    <mergeCell ref="A17:A23"/>
    <mergeCell ref="A26:A33"/>
    <mergeCell ref="A35:A39"/>
    <mergeCell ref="A42:A46"/>
  </mergeCell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9"/>
  <sheetViews>
    <sheetView topLeftCell="A64" workbookViewId="0">
      <selection activeCell="B12" sqref="B12:D12"/>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164</v>
      </c>
    </row>
    <row r="4" spans="1:5" x14ac:dyDescent="0.4">
      <c r="D4" s="5"/>
    </row>
    <row r="5" spans="1:5" ht="21" customHeight="1" x14ac:dyDescent="0.4">
      <c r="A5" s="6">
        <v>1</v>
      </c>
      <c r="B5" s="7" t="s">
        <v>3</v>
      </c>
      <c r="C5" s="356" t="s">
        <v>4</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86</v>
      </c>
      <c r="D8" s="5"/>
    </row>
    <row r="9" spans="1:5" ht="16.25" customHeight="1" x14ac:dyDescent="0.4">
      <c r="A9" s="9"/>
      <c r="B9" s="359" t="s">
        <v>5</v>
      </c>
      <c r="C9" s="359"/>
      <c r="D9" s="359"/>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165</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93</v>
      </c>
      <c r="C19" s="354" t="s">
        <v>13</v>
      </c>
      <c r="D19" s="354"/>
      <c r="E19" s="354"/>
      <c r="F19" s="15" t="s">
        <v>683</v>
      </c>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81"/>
      <c r="G26" s="11"/>
      <c r="H26" s="13"/>
      <c r="I26" s="11"/>
      <c r="J26" s="11"/>
    </row>
    <row r="27" spans="1:14" x14ac:dyDescent="0.4">
      <c r="A27" s="9"/>
      <c r="B27" s="370" t="s">
        <v>19</v>
      </c>
      <c r="C27" s="371"/>
      <c r="D27" s="371"/>
      <c r="E27" s="372"/>
      <c r="F27" s="15"/>
    </row>
    <row r="28" spans="1:14" x14ac:dyDescent="0.4">
      <c r="A28" s="9"/>
      <c r="B28" s="17" t="s">
        <v>20</v>
      </c>
      <c r="C28" s="18" t="s">
        <v>87</v>
      </c>
      <c r="D28" s="18" t="s">
        <v>22</v>
      </c>
      <c r="E28" s="18" t="s">
        <v>23</v>
      </c>
      <c r="F28" s="15"/>
    </row>
    <row r="29" spans="1:14" ht="12.7" customHeight="1" x14ac:dyDescent="0.4">
      <c r="A29" s="9"/>
      <c r="B29" s="19" t="s">
        <v>24</v>
      </c>
      <c r="C29" s="20">
        <v>2314.6</v>
      </c>
      <c r="D29" s="20">
        <v>3306.13</v>
      </c>
      <c r="E29" s="20">
        <v>5511.24</v>
      </c>
      <c r="F29" s="15"/>
    </row>
    <row r="30" spans="1:14" x14ac:dyDescent="0.4">
      <c r="A30" s="9"/>
      <c r="B30" s="19" t="s">
        <v>25</v>
      </c>
      <c r="C30" s="20">
        <v>34.44</v>
      </c>
      <c r="D30" s="20">
        <v>81.2</v>
      </c>
      <c r="E30" s="20">
        <v>342.43</v>
      </c>
      <c r="F30" s="15"/>
    </row>
    <row r="31" spans="1:14" x14ac:dyDescent="0.4">
      <c r="A31" s="9"/>
      <c r="B31" s="19" t="s">
        <v>26</v>
      </c>
      <c r="C31" s="20">
        <v>479.6</v>
      </c>
      <c r="D31" s="20">
        <v>599.5</v>
      </c>
      <c r="E31" s="20">
        <v>599.5</v>
      </c>
      <c r="F31" s="15"/>
    </row>
    <row r="32" spans="1:14" x14ac:dyDescent="0.4">
      <c r="A32" s="9"/>
      <c r="B32" s="19" t="s">
        <v>27</v>
      </c>
      <c r="C32" s="20">
        <v>333.19</v>
      </c>
      <c r="D32" s="20">
        <v>294.49</v>
      </c>
      <c r="E32" s="20">
        <v>600.84</v>
      </c>
      <c r="F32" s="15"/>
    </row>
    <row r="33" spans="1:10" x14ac:dyDescent="0.4">
      <c r="A33" s="9"/>
      <c r="B33" s="363" t="s">
        <v>166</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144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167</v>
      </c>
      <c r="D43" s="374"/>
      <c r="E43" s="375"/>
      <c r="F43" s="13"/>
    </row>
    <row r="44" spans="1:10" x14ac:dyDescent="0.4">
      <c r="A44" s="9"/>
      <c r="B44" s="17" t="s">
        <v>31</v>
      </c>
      <c r="C44" s="373" t="s">
        <v>79</v>
      </c>
      <c r="D44" s="374"/>
      <c r="E44" s="375"/>
      <c r="F44" s="13"/>
    </row>
    <row r="45" spans="1:10" x14ac:dyDescent="0.4">
      <c r="A45" s="9"/>
      <c r="B45" s="17" t="s">
        <v>32</v>
      </c>
      <c r="C45" s="373" t="s">
        <v>79</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168</v>
      </c>
      <c r="E49" s="27" t="s">
        <v>40</v>
      </c>
    </row>
    <row r="50" spans="1:14" ht="26.5" x14ac:dyDescent="0.4">
      <c r="A50" s="29"/>
      <c r="B50" s="30" t="s">
        <v>146</v>
      </c>
      <c r="C50" s="30" t="s">
        <v>169</v>
      </c>
      <c r="D50" s="78" t="s">
        <v>119</v>
      </c>
      <c r="E50" s="4" t="s">
        <v>41</v>
      </c>
    </row>
    <row r="51" spans="1:14" x14ac:dyDescent="0.4">
      <c r="A51" s="31"/>
      <c r="B51" s="432" t="s">
        <v>170</v>
      </c>
      <c r="C51" s="433"/>
      <c r="D51" s="433"/>
      <c r="E51" s="434"/>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35">
      <c r="A54" s="29"/>
      <c r="B54" s="383" t="s">
        <v>43</v>
      </c>
      <c r="C54" s="426" t="s">
        <v>171</v>
      </c>
      <c r="D54" s="427"/>
      <c r="E54" s="428"/>
      <c r="K54" s="1"/>
    </row>
    <row r="55" spans="1:14" x14ac:dyDescent="0.35">
      <c r="A55" s="29"/>
      <c r="B55" s="384"/>
      <c r="C55" s="426" t="s">
        <v>172</v>
      </c>
      <c r="D55" s="427"/>
      <c r="E55" s="428"/>
      <c r="K55" s="1"/>
    </row>
    <row r="56" spans="1:14" x14ac:dyDescent="0.4">
      <c r="A56" s="24"/>
      <c r="B56" s="33" t="s">
        <v>44</v>
      </c>
      <c r="C56" s="429" t="s">
        <v>119</v>
      </c>
      <c r="D56" s="430"/>
      <c r="E56" s="431"/>
    </row>
    <row r="57" spans="1:14" x14ac:dyDescent="0.4">
      <c r="A57" s="29"/>
      <c r="B57" s="33" t="s">
        <v>45</v>
      </c>
      <c r="C57" s="391" t="s">
        <v>46</v>
      </c>
      <c r="D57" s="391"/>
      <c r="E57" s="391"/>
      <c r="K57" s="34"/>
    </row>
    <row r="58" spans="1:14" x14ac:dyDescent="0.4">
      <c r="A58" s="29"/>
      <c r="B58" s="432"/>
      <c r="C58" s="433"/>
      <c r="D58" s="433"/>
      <c r="E58" s="434"/>
      <c r="K58" s="34"/>
    </row>
    <row r="59" spans="1:14" s="63" customFormat="1" x14ac:dyDescent="0.35">
      <c r="A59" s="35" t="s">
        <v>47</v>
      </c>
      <c r="B59" s="392" t="s">
        <v>48</v>
      </c>
      <c r="C59" s="392"/>
      <c r="D59" s="392"/>
      <c r="E59" s="392"/>
    </row>
    <row r="60" spans="1:14" x14ac:dyDescent="0.4">
      <c r="A60" s="36"/>
      <c r="B60" s="2"/>
      <c r="C60" s="37"/>
      <c r="D60" s="38"/>
      <c r="E60" s="39"/>
      <c r="F60" s="34"/>
      <c r="G60" s="34"/>
      <c r="H60" s="34"/>
      <c r="I60" s="34"/>
      <c r="J60" s="34"/>
      <c r="K60" s="34"/>
      <c r="L60" s="34"/>
    </row>
    <row r="61" spans="1:14" x14ac:dyDescent="0.4">
      <c r="A61" s="40"/>
      <c r="B61" s="41"/>
      <c r="C61" s="42"/>
      <c r="D61" s="42"/>
      <c r="E61" s="42"/>
      <c r="F61" s="42"/>
    </row>
    <row r="62" spans="1:14" x14ac:dyDescent="0.4">
      <c r="A62" s="9">
        <v>11</v>
      </c>
      <c r="B62" s="3" t="s">
        <v>49</v>
      </c>
      <c r="C62" s="393" t="s">
        <v>50</v>
      </c>
      <c r="D62" s="393"/>
      <c r="E62" s="393"/>
      <c r="F62" s="11"/>
      <c r="G62" s="11"/>
      <c r="H62" s="43"/>
      <c r="I62" s="11"/>
      <c r="J62" s="11"/>
    </row>
    <row r="63" spans="1:14" x14ac:dyDescent="0.4">
      <c r="A63" s="9"/>
      <c r="B63" s="15"/>
      <c r="C63" s="15"/>
      <c r="D63" s="15"/>
      <c r="E63" s="15"/>
      <c r="F63" s="15"/>
      <c r="G63" s="15"/>
      <c r="H63" s="44"/>
      <c r="I63" s="44"/>
      <c r="J63" s="15"/>
    </row>
    <row r="64" spans="1:14" x14ac:dyDescent="0.4">
      <c r="A64" s="9">
        <v>12</v>
      </c>
      <c r="B64" s="11" t="s">
        <v>51</v>
      </c>
      <c r="C64" s="11"/>
      <c r="D64" s="11"/>
      <c r="E64" s="11"/>
      <c r="F64" s="11"/>
      <c r="G64" s="11"/>
      <c r="H64" s="11"/>
      <c r="I64" s="11"/>
      <c r="J64" s="11"/>
      <c r="K64" s="11"/>
      <c r="L64" s="11"/>
      <c r="M64" s="11"/>
      <c r="N64" s="11"/>
    </row>
    <row r="65" spans="1:14" x14ac:dyDescent="0.4">
      <c r="A65" s="9"/>
      <c r="B65" s="11"/>
      <c r="C65" s="11"/>
      <c r="D65" s="11"/>
      <c r="E65" s="11"/>
      <c r="F65" s="11"/>
      <c r="G65" s="11"/>
      <c r="H65" s="11"/>
      <c r="I65" s="11"/>
      <c r="J65" s="11"/>
      <c r="K65" s="11"/>
      <c r="L65" s="11"/>
      <c r="M65" s="11"/>
      <c r="N65" s="11"/>
    </row>
    <row r="66" spans="1:14" x14ac:dyDescent="0.4">
      <c r="A66" s="9"/>
      <c r="B66" s="17" t="s">
        <v>52</v>
      </c>
      <c r="C66" s="19" t="s">
        <v>173</v>
      </c>
      <c r="D66" s="15"/>
      <c r="F66" s="15"/>
      <c r="G66" s="44"/>
      <c r="H66" s="44"/>
      <c r="I66" s="15"/>
      <c r="J66" s="15"/>
      <c r="K66" s="15"/>
      <c r="L66" s="15"/>
      <c r="M66" s="15"/>
      <c r="N66" s="15"/>
    </row>
    <row r="67" spans="1:14" x14ac:dyDescent="0.4">
      <c r="A67" s="9"/>
      <c r="B67" s="15"/>
      <c r="C67" s="15"/>
      <c r="D67" s="15"/>
      <c r="E67" s="15"/>
      <c r="F67" s="15"/>
      <c r="G67" s="15"/>
      <c r="H67" s="15"/>
      <c r="I67" s="15"/>
      <c r="J67" s="15"/>
      <c r="K67" s="15"/>
      <c r="L67" s="15"/>
      <c r="M67" s="15"/>
      <c r="N67" s="15"/>
    </row>
    <row r="68" spans="1:14" x14ac:dyDescent="0.4">
      <c r="A68" s="9"/>
      <c r="B68" s="365" t="s">
        <v>53</v>
      </c>
      <c r="C68" s="366" t="s">
        <v>154</v>
      </c>
      <c r="D68" s="366" t="s">
        <v>155</v>
      </c>
      <c r="E68" s="403" t="s">
        <v>156</v>
      </c>
      <c r="F68" s="395" t="s">
        <v>54</v>
      </c>
      <c r="G68" s="396"/>
      <c r="H68" s="397"/>
      <c r="I68" s="398" t="s">
        <v>55</v>
      </c>
      <c r="J68" s="398"/>
      <c r="K68" s="398"/>
      <c r="L68" s="398" t="s">
        <v>56</v>
      </c>
      <c r="M68" s="398"/>
      <c r="N68" s="398"/>
    </row>
    <row r="69" spans="1:14" ht="38.450000000000003" x14ac:dyDescent="0.4">
      <c r="A69" s="2"/>
      <c r="B69" s="365"/>
      <c r="C69" s="402"/>
      <c r="D69" s="402"/>
      <c r="E69" s="404"/>
      <c r="F69" s="17" t="s">
        <v>57</v>
      </c>
      <c r="G69" s="17" t="s">
        <v>58</v>
      </c>
      <c r="H69" s="17" t="s">
        <v>59</v>
      </c>
      <c r="I69" s="17" t="s">
        <v>60</v>
      </c>
      <c r="J69" s="17" t="s">
        <v>58</v>
      </c>
      <c r="K69" s="17" t="s">
        <v>59</v>
      </c>
      <c r="L69" s="17" t="s">
        <v>60</v>
      </c>
      <c r="M69" s="17" t="s">
        <v>58</v>
      </c>
      <c r="N69" s="17" t="s">
        <v>59</v>
      </c>
    </row>
    <row r="70" spans="1:14" x14ac:dyDescent="0.4">
      <c r="A70" s="2"/>
      <c r="B70" s="45" t="s">
        <v>61</v>
      </c>
      <c r="C70" s="45">
        <v>27.3</v>
      </c>
      <c r="D70" s="45">
        <v>30.5</v>
      </c>
      <c r="E70" s="45">
        <v>29.1</v>
      </c>
      <c r="F70" s="45">
        <v>29</v>
      </c>
      <c r="G70" s="45">
        <v>36.9</v>
      </c>
      <c r="H70" s="45">
        <v>26</v>
      </c>
      <c r="I70" s="45">
        <v>30.65</v>
      </c>
      <c r="J70" s="45">
        <v>37</v>
      </c>
      <c r="K70" s="45">
        <v>26.5</v>
      </c>
      <c r="L70" s="45">
        <v>59.5</v>
      </c>
      <c r="M70" s="45">
        <v>78</v>
      </c>
      <c r="N70" s="45">
        <v>26.5</v>
      </c>
    </row>
    <row r="71" spans="1:14" ht="26.5" x14ac:dyDescent="0.35">
      <c r="A71" s="2"/>
      <c r="B71" s="45" t="s">
        <v>62</v>
      </c>
      <c r="C71" s="45">
        <v>27010.14</v>
      </c>
      <c r="D71" s="45">
        <v>25610.53</v>
      </c>
      <c r="E71" s="45">
        <v>24682.03</v>
      </c>
      <c r="F71" s="45">
        <v>25341.86</v>
      </c>
      <c r="G71" s="45">
        <v>29094.61</v>
      </c>
      <c r="H71" s="45">
        <v>22494.61</v>
      </c>
      <c r="I71" s="45">
        <v>29620.5</v>
      </c>
      <c r="J71" s="45">
        <v>27984.37</v>
      </c>
      <c r="K71" s="45">
        <v>28294.28</v>
      </c>
      <c r="L71" s="46">
        <v>32968.68</v>
      </c>
      <c r="M71" s="46">
        <v>36443.980000000003</v>
      </c>
      <c r="N71" s="48">
        <v>29241.48</v>
      </c>
    </row>
    <row r="72" spans="1:14" x14ac:dyDescent="0.4">
      <c r="A72" s="2"/>
      <c r="B72" s="45" t="s">
        <v>157</v>
      </c>
      <c r="C72" s="45">
        <v>789.26</v>
      </c>
      <c r="D72" s="45">
        <v>759.83</v>
      </c>
      <c r="E72" s="45">
        <v>790.51</v>
      </c>
      <c r="F72" s="45">
        <v>767.86</v>
      </c>
      <c r="G72" s="45">
        <v>948</v>
      </c>
      <c r="H72" s="45">
        <v>731.23</v>
      </c>
      <c r="I72" s="45">
        <v>1288.8800000000001</v>
      </c>
      <c r="J72" s="45">
        <v>1025.57</v>
      </c>
      <c r="K72" s="45">
        <v>1002.86</v>
      </c>
      <c r="L72" s="45" t="s">
        <v>41</v>
      </c>
      <c r="M72" s="45" t="s">
        <v>41</v>
      </c>
      <c r="N72" s="45" t="s">
        <v>41</v>
      </c>
    </row>
    <row r="73" spans="1:14" ht="26.5" x14ac:dyDescent="0.4">
      <c r="A73" s="2"/>
      <c r="B73" s="45" t="s">
        <v>174</v>
      </c>
      <c r="C73" s="45"/>
      <c r="D73" s="45"/>
      <c r="E73" s="45"/>
      <c r="F73" s="45"/>
      <c r="G73" s="45"/>
      <c r="H73" s="45"/>
      <c r="I73" s="45"/>
      <c r="J73" s="45"/>
      <c r="K73" s="45"/>
      <c r="L73" s="45"/>
      <c r="M73" s="45"/>
      <c r="N73" s="45"/>
    </row>
    <row r="74" spans="1:14" x14ac:dyDescent="0.4">
      <c r="A74" s="2"/>
      <c r="B74" s="401" t="s">
        <v>17</v>
      </c>
      <c r="C74" s="401"/>
      <c r="D74" s="401"/>
      <c r="E74" s="401"/>
      <c r="F74" s="401"/>
      <c r="G74" s="401"/>
      <c r="H74" s="401"/>
      <c r="I74" s="401"/>
      <c r="J74" s="401"/>
      <c r="K74" s="401"/>
      <c r="L74" s="401"/>
      <c r="M74" s="401"/>
      <c r="N74" s="401"/>
    </row>
    <row r="75" spans="1:14" x14ac:dyDescent="0.4">
      <c r="A75" s="2"/>
      <c r="B75" s="359" t="s">
        <v>63</v>
      </c>
      <c r="C75" s="359"/>
      <c r="D75" s="359"/>
      <c r="E75" s="359"/>
      <c r="F75" s="359"/>
      <c r="G75" s="359"/>
      <c r="H75" s="359"/>
      <c r="I75" s="359"/>
      <c r="J75" s="359"/>
      <c r="K75" s="359"/>
      <c r="L75" s="359"/>
      <c r="M75" s="359"/>
      <c r="N75" s="359"/>
    </row>
    <row r="76" spans="1:14" s="1" customFormat="1" x14ac:dyDescent="0.4">
      <c r="B76" s="359" t="s">
        <v>64</v>
      </c>
      <c r="C76" s="359"/>
      <c r="D76" s="359"/>
      <c r="E76" s="359"/>
      <c r="F76" s="359"/>
      <c r="G76" s="359"/>
      <c r="H76" s="359"/>
      <c r="I76" s="359"/>
      <c r="J76" s="359"/>
      <c r="K76" s="359"/>
      <c r="L76" s="359"/>
      <c r="M76" s="359"/>
      <c r="N76" s="359"/>
    </row>
    <row r="77" spans="1:14" x14ac:dyDescent="0.4">
      <c r="A77" s="2"/>
      <c r="B77" s="359" t="s">
        <v>80</v>
      </c>
      <c r="C77" s="359"/>
      <c r="D77" s="359"/>
      <c r="E77" s="359"/>
      <c r="F77" s="359"/>
      <c r="G77" s="359"/>
      <c r="H77" s="359"/>
      <c r="I77" s="359"/>
      <c r="J77" s="359"/>
      <c r="K77" s="359"/>
      <c r="L77" s="359"/>
      <c r="M77" s="359"/>
      <c r="N77" s="359"/>
    </row>
    <row r="78" spans="1:14" x14ac:dyDescent="0.4">
      <c r="A78" s="2"/>
      <c r="B78" s="359" t="s">
        <v>65</v>
      </c>
      <c r="C78" s="359"/>
      <c r="D78" s="359"/>
      <c r="E78" s="359"/>
      <c r="F78" s="359"/>
      <c r="G78" s="359"/>
      <c r="H78" s="359"/>
      <c r="I78" s="359"/>
      <c r="J78" s="359"/>
      <c r="K78" s="359"/>
      <c r="L78" s="359"/>
      <c r="M78" s="359"/>
      <c r="N78" s="359"/>
    </row>
    <row r="79" spans="1:14" x14ac:dyDescent="0.4">
      <c r="A79" s="2"/>
      <c r="B79" s="49"/>
      <c r="C79" s="49"/>
      <c r="D79" s="49"/>
      <c r="E79" s="49"/>
      <c r="F79" s="49"/>
      <c r="G79" s="13"/>
      <c r="H79" s="13"/>
      <c r="I79" s="13"/>
      <c r="J79" s="13"/>
      <c r="K79" s="13"/>
      <c r="L79" s="13"/>
      <c r="M79" s="13"/>
      <c r="N79" s="13"/>
    </row>
    <row r="80" spans="1:14" x14ac:dyDescent="0.4">
      <c r="A80" s="9">
        <v>13</v>
      </c>
      <c r="B80" s="405" t="s">
        <v>66</v>
      </c>
      <c r="C80" s="406"/>
      <c r="D80" s="406"/>
      <c r="E80" s="406"/>
      <c r="F80" s="406"/>
      <c r="G80" s="376"/>
      <c r="H80" s="11"/>
      <c r="I80" s="11"/>
      <c r="J80" s="11"/>
      <c r="K80" s="11"/>
      <c r="L80" s="11"/>
      <c r="M80" s="11"/>
      <c r="N80" s="11"/>
    </row>
    <row r="81" spans="1:14" x14ac:dyDescent="0.4">
      <c r="A81" s="9"/>
      <c r="C81" s="15"/>
      <c r="D81" s="15"/>
      <c r="E81" s="15"/>
      <c r="F81" s="15"/>
      <c r="G81" s="15"/>
      <c r="H81" s="15"/>
      <c r="I81" s="15"/>
      <c r="J81" s="15"/>
      <c r="K81" s="15"/>
      <c r="L81" s="15"/>
      <c r="M81" s="15"/>
      <c r="N81" s="15"/>
    </row>
    <row r="82" spans="1:14" ht="102.5" x14ac:dyDescent="0.4">
      <c r="A82" s="2"/>
      <c r="B82" s="50" t="s">
        <v>67</v>
      </c>
      <c r="C82" s="18" t="s">
        <v>68</v>
      </c>
      <c r="D82" s="18" t="s">
        <v>69</v>
      </c>
      <c r="E82" s="18" t="s">
        <v>88</v>
      </c>
      <c r="F82" s="18" t="s">
        <v>71</v>
      </c>
      <c r="G82" s="18" t="s">
        <v>81</v>
      </c>
      <c r="H82" s="13"/>
      <c r="I82" s="13"/>
      <c r="J82" s="13"/>
      <c r="K82" s="13"/>
      <c r="L82" s="13"/>
      <c r="M82" s="13"/>
      <c r="N82" s="13"/>
    </row>
    <row r="83" spans="1:14" x14ac:dyDescent="0.35">
      <c r="A83" s="2"/>
      <c r="B83" s="394" t="s">
        <v>72</v>
      </c>
      <c r="C83" s="3" t="s">
        <v>175</v>
      </c>
      <c r="D83" s="82">
        <v>4.8600000000000003</v>
      </c>
      <c r="E83" s="66">
        <v>0.84</v>
      </c>
      <c r="F83" s="66">
        <v>1.35</v>
      </c>
      <c r="G83" s="66">
        <v>5.71</v>
      </c>
      <c r="H83" s="53"/>
      <c r="I83" s="53"/>
      <c r="J83" s="53"/>
      <c r="K83" s="53"/>
      <c r="L83" s="53"/>
      <c r="M83" s="53"/>
      <c r="N83" s="53"/>
    </row>
    <row r="84" spans="1:14" x14ac:dyDescent="0.4">
      <c r="A84" s="2"/>
      <c r="B84" s="394"/>
      <c r="C84" s="3" t="s">
        <v>73</v>
      </c>
      <c r="D84" s="83"/>
      <c r="E84" s="66"/>
      <c r="F84" s="66"/>
      <c r="G84" s="66"/>
      <c r="H84" s="53"/>
      <c r="I84" s="53"/>
      <c r="J84" s="53"/>
      <c r="K84" s="53"/>
      <c r="L84" s="53"/>
      <c r="M84" s="53"/>
      <c r="N84" s="53"/>
    </row>
    <row r="85" spans="1:14" x14ac:dyDescent="0.35">
      <c r="A85" s="2"/>
      <c r="B85" s="394"/>
      <c r="C85" s="48" t="s">
        <v>176</v>
      </c>
      <c r="D85" s="83">
        <v>1.2</v>
      </c>
      <c r="E85" s="66">
        <v>3.19</v>
      </c>
      <c r="F85" s="66">
        <v>3.43</v>
      </c>
      <c r="G85" s="66">
        <v>3.76</v>
      </c>
      <c r="H85" s="53"/>
      <c r="I85" s="53"/>
      <c r="J85" s="53"/>
      <c r="K85" s="53"/>
      <c r="L85" s="53"/>
      <c r="M85" s="53"/>
      <c r="N85" s="53"/>
    </row>
    <row r="86" spans="1:14" x14ac:dyDescent="0.35">
      <c r="A86" s="2"/>
      <c r="B86" s="394"/>
      <c r="C86" s="48" t="s">
        <v>177</v>
      </c>
      <c r="D86" s="83">
        <v>2.2999999999999998</v>
      </c>
      <c r="E86" s="66">
        <v>4.74</v>
      </c>
      <c r="F86" s="66">
        <v>10.26</v>
      </c>
      <c r="G86" s="66">
        <v>11.45</v>
      </c>
      <c r="H86" s="53"/>
      <c r="I86" s="53"/>
      <c r="J86" s="53"/>
      <c r="K86" s="53"/>
      <c r="L86" s="53"/>
      <c r="M86" s="53"/>
      <c r="N86" s="53"/>
    </row>
    <row r="87" spans="1:14" x14ac:dyDescent="0.35">
      <c r="A87" s="2"/>
      <c r="B87" s="394"/>
      <c r="C87" s="3" t="s">
        <v>74</v>
      </c>
      <c r="D87" s="82">
        <v>1.75</v>
      </c>
      <c r="E87" s="66">
        <f>E85+E86/2</f>
        <v>5.5600000000000005</v>
      </c>
      <c r="F87" s="66">
        <v>5.01</v>
      </c>
      <c r="G87" s="66"/>
      <c r="H87" s="53"/>
      <c r="I87" s="53"/>
      <c r="J87" s="53"/>
      <c r="K87" s="53"/>
      <c r="L87" s="53"/>
      <c r="M87" s="53"/>
      <c r="N87" s="53"/>
    </row>
    <row r="88" spans="1:14" x14ac:dyDescent="0.35">
      <c r="A88" s="2"/>
      <c r="B88" s="394" t="s">
        <v>75</v>
      </c>
      <c r="C88" s="3" t="s">
        <v>175</v>
      </c>
      <c r="D88" s="82">
        <v>4.96</v>
      </c>
      <c r="E88" s="66">
        <v>34.520000000000003</v>
      </c>
      <c r="F88" s="66">
        <v>22.7</v>
      </c>
      <c r="G88" s="70">
        <f>59.5/5.71</f>
        <v>10.420315236427321</v>
      </c>
      <c r="H88" s="53"/>
      <c r="I88" s="53"/>
      <c r="J88" s="53"/>
      <c r="K88" s="53"/>
      <c r="L88" s="53"/>
      <c r="M88" s="53"/>
      <c r="N88" s="53"/>
    </row>
    <row r="89" spans="1:14" x14ac:dyDescent="0.35">
      <c r="A89" s="2"/>
      <c r="B89" s="394"/>
      <c r="C89" s="3" t="s">
        <v>73</v>
      </c>
      <c r="D89" s="82"/>
      <c r="E89" s="66"/>
      <c r="F89" s="66"/>
      <c r="G89" s="66"/>
      <c r="H89" s="53"/>
      <c r="I89" s="53"/>
      <c r="J89" s="53"/>
      <c r="K89" s="53"/>
      <c r="L89" s="53"/>
      <c r="M89" s="53"/>
      <c r="N89" s="53"/>
    </row>
    <row r="90" spans="1:14" x14ac:dyDescent="0.35">
      <c r="A90" s="2"/>
      <c r="B90" s="394"/>
      <c r="C90" s="48" t="s">
        <v>176</v>
      </c>
      <c r="D90" s="82">
        <v>19.2</v>
      </c>
      <c r="E90" s="66">
        <v>18.55</v>
      </c>
      <c r="F90" s="66">
        <v>21.31</v>
      </c>
      <c r="G90" s="70">
        <f>96.85/3.76</f>
        <v>25.757978723404257</v>
      </c>
      <c r="H90" s="53"/>
      <c r="I90" s="53"/>
      <c r="J90" s="53"/>
      <c r="K90" s="53"/>
      <c r="L90" s="53"/>
      <c r="M90" s="53"/>
      <c r="N90" s="53"/>
    </row>
    <row r="91" spans="1:14" x14ac:dyDescent="0.35">
      <c r="A91" s="2"/>
      <c r="B91" s="394"/>
      <c r="C91" s="48" t="s">
        <v>177</v>
      </c>
      <c r="D91" s="84">
        <v>27.8</v>
      </c>
      <c r="E91" s="66">
        <v>20.36</v>
      </c>
      <c r="F91" s="66">
        <v>16.36</v>
      </c>
      <c r="G91" s="70">
        <f>409.7/11.45</f>
        <v>35.78165938864629</v>
      </c>
      <c r="H91" s="53"/>
      <c r="I91" s="53"/>
      <c r="J91" s="53"/>
      <c r="K91" s="53"/>
      <c r="L91" s="53"/>
      <c r="M91" s="53"/>
      <c r="N91" s="53"/>
    </row>
    <row r="92" spans="1:14" x14ac:dyDescent="0.35">
      <c r="A92" s="2"/>
      <c r="B92" s="394"/>
      <c r="C92" s="3" t="s">
        <v>74</v>
      </c>
      <c r="D92" s="82">
        <v>23.5</v>
      </c>
      <c r="E92" s="66">
        <f>E90+E91/2</f>
        <v>28.73</v>
      </c>
      <c r="F92" s="66">
        <v>20.12</v>
      </c>
      <c r="G92" s="66"/>
      <c r="H92" s="53"/>
      <c r="I92" s="53"/>
      <c r="J92" s="53"/>
      <c r="K92" s="53"/>
      <c r="L92" s="53"/>
      <c r="M92" s="53"/>
      <c r="N92" s="53"/>
    </row>
    <row r="93" spans="1:14" x14ac:dyDescent="0.35">
      <c r="A93" s="2"/>
      <c r="B93" s="394" t="s">
        <v>76</v>
      </c>
      <c r="C93" s="3" t="s">
        <v>175</v>
      </c>
      <c r="D93" s="82">
        <v>39.51</v>
      </c>
      <c r="E93" s="66">
        <v>20.18</v>
      </c>
      <c r="F93" s="66">
        <v>9.08</v>
      </c>
      <c r="G93" s="71">
        <f>342.43/1200.34</f>
        <v>0.2852775047069997</v>
      </c>
      <c r="H93" s="53"/>
      <c r="I93" s="53"/>
      <c r="J93" s="53"/>
      <c r="K93" s="53"/>
      <c r="L93" s="53"/>
      <c r="M93" s="53"/>
      <c r="N93" s="53"/>
    </row>
    <row r="94" spans="1:14" x14ac:dyDescent="0.35">
      <c r="A94" s="2"/>
      <c r="B94" s="394"/>
      <c r="C94" s="3" t="s">
        <v>73</v>
      </c>
      <c r="D94" s="82"/>
      <c r="E94" s="66"/>
      <c r="F94" s="66"/>
      <c r="G94" s="66"/>
      <c r="H94" s="53"/>
      <c r="I94" s="53"/>
      <c r="J94" s="53"/>
      <c r="K94" s="53"/>
      <c r="L94" s="53"/>
      <c r="M94" s="53"/>
      <c r="N94" s="53"/>
    </row>
    <row r="95" spans="1:14" x14ac:dyDescent="0.35">
      <c r="A95" s="2"/>
      <c r="B95" s="394"/>
      <c r="C95" s="48" t="s">
        <v>176</v>
      </c>
      <c r="D95" s="82">
        <v>18.100000000000001</v>
      </c>
      <c r="E95" s="66">
        <v>28.68</v>
      </c>
      <c r="F95" s="66">
        <v>29.98</v>
      </c>
      <c r="G95" s="71">
        <f>2136.03/7708.74</f>
        <v>0.27709197612061121</v>
      </c>
      <c r="H95" s="53"/>
      <c r="I95" s="53"/>
      <c r="J95" s="53"/>
      <c r="K95" s="53"/>
      <c r="L95" s="53"/>
      <c r="M95" s="53"/>
      <c r="N95" s="53"/>
    </row>
    <row r="96" spans="1:14" x14ac:dyDescent="0.35">
      <c r="A96" s="2"/>
      <c r="B96" s="394"/>
      <c r="C96" s="48" t="s">
        <v>177</v>
      </c>
      <c r="D96" s="84">
        <v>2.5</v>
      </c>
      <c r="E96" s="66">
        <v>4.3099999999999996</v>
      </c>
      <c r="F96" s="66">
        <v>8.5299999999999994</v>
      </c>
      <c r="G96" s="71">
        <f>1330.18/14752.48</f>
        <v>9.0166534711451918E-2</v>
      </c>
      <c r="H96" s="53"/>
      <c r="I96" s="53"/>
      <c r="J96" s="53"/>
      <c r="K96" s="53"/>
      <c r="L96" s="53"/>
      <c r="M96" s="53"/>
      <c r="N96" s="53"/>
    </row>
    <row r="97" spans="1:14" x14ac:dyDescent="0.35">
      <c r="A97" s="2"/>
      <c r="B97" s="394"/>
      <c r="C97" s="3" t="s">
        <v>74</v>
      </c>
      <c r="D97" s="82">
        <v>10.3</v>
      </c>
      <c r="E97" s="66">
        <f>E95+E96/2</f>
        <v>30.835000000000001</v>
      </c>
      <c r="F97" s="66">
        <v>15.86</v>
      </c>
      <c r="G97" s="66"/>
      <c r="H97" s="53"/>
      <c r="I97" s="53"/>
      <c r="J97" s="53"/>
      <c r="K97" s="57"/>
      <c r="L97" s="53"/>
      <c r="M97" s="53"/>
      <c r="N97" s="53"/>
    </row>
    <row r="98" spans="1:14" x14ac:dyDescent="0.35">
      <c r="A98" s="2"/>
      <c r="B98" s="58" t="s">
        <v>77</v>
      </c>
      <c r="C98" s="3" t="s">
        <v>175</v>
      </c>
      <c r="D98" s="82">
        <v>12.74</v>
      </c>
      <c r="E98" s="66">
        <v>16.95</v>
      </c>
      <c r="F98" s="66">
        <v>14.91</v>
      </c>
      <c r="G98" s="70">
        <f>1200.34/59.95</f>
        <v>20.022351959966638</v>
      </c>
      <c r="H98" s="53"/>
      <c r="I98" s="53"/>
      <c r="J98" s="53"/>
      <c r="K98" s="53"/>
      <c r="L98" s="53"/>
      <c r="M98" s="53"/>
      <c r="N98" s="53"/>
    </row>
    <row r="99" spans="1:14" x14ac:dyDescent="0.35">
      <c r="A99" s="2"/>
      <c r="B99" s="60"/>
      <c r="C99" s="3" t="s">
        <v>73</v>
      </c>
      <c r="D99" s="82"/>
      <c r="E99" s="66"/>
      <c r="F99" s="66"/>
      <c r="G99" s="66"/>
      <c r="H99" s="53"/>
      <c r="I99" s="53"/>
      <c r="J99" s="53"/>
      <c r="K99" s="53"/>
      <c r="L99" s="53"/>
      <c r="M99" s="53"/>
      <c r="N99" s="53"/>
    </row>
    <row r="100" spans="1:14" x14ac:dyDescent="0.35">
      <c r="A100" s="2"/>
      <c r="B100" s="60"/>
      <c r="C100" s="48" t="s">
        <v>176</v>
      </c>
      <c r="D100" s="82">
        <v>7.6</v>
      </c>
      <c r="E100" s="66">
        <v>11.12</v>
      </c>
      <c r="F100" s="66">
        <v>11.45</v>
      </c>
      <c r="G100" s="70">
        <f>7708.74/560.4</f>
        <v>13.755781584582442</v>
      </c>
      <c r="H100" s="53"/>
      <c r="I100" s="53"/>
      <c r="J100" s="53"/>
      <c r="K100" s="53"/>
      <c r="L100" s="53"/>
      <c r="M100" s="53"/>
      <c r="N100" s="53"/>
    </row>
    <row r="101" spans="1:14" x14ac:dyDescent="0.35">
      <c r="A101" s="2"/>
      <c r="B101" s="60"/>
      <c r="C101" s="48" t="s">
        <v>177</v>
      </c>
      <c r="D101" s="65">
        <v>106.9</v>
      </c>
      <c r="E101" s="66">
        <v>109.92</v>
      </c>
      <c r="F101" s="66">
        <v>120.18</v>
      </c>
      <c r="G101" s="70">
        <f>14752.48/115.5</f>
        <v>127.72709956709956</v>
      </c>
      <c r="H101" s="53"/>
      <c r="I101" s="53"/>
      <c r="J101" s="53"/>
      <c r="K101" s="53"/>
      <c r="L101" s="53"/>
      <c r="M101" s="53"/>
      <c r="N101" s="53"/>
    </row>
    <row r="102" spans="1:14" x14ac:dyDescent="0.35">
      <c r="A102" s="2"/>
      <c r="B102" s="60"/>
      <c r="C102" s="3" t="s">
        <v>74</v>
      </c>
      <c r="D102" s="65">
        <v>57.25</v>
      </c>
      <c r="E102" s="66">
        <f>E100+E101/2</f>
        <v>66.08</v>
      </c>
      <c r="F102" s="66">
        <v>48.85</v>
      </c>
      <c r="G102" s="66"/>
      <c r="H102" s="53"/>
      <c r="I102" s="53"/>
      <c r="J102" s="53"/>
      <c r="K102" s="53"/>
      <c r="L102" s="53"/>
      <c r="M102" s="53"/>
      <c r="N102" s="53"/>
    </row>
    <row r="103" spans="1:14" x14ac:dyDescent="0.4">
      <c r="A103" s="2"/>
      <c r="B103" s="415" t="s">
        <v>178</v>
      </c>
      <c r="C103" s="416"/>
      <c r="D103" s="416"/>
      <c r="E103" s="416"/>
      <c r="F103" s="416"/>
      <c r="G103" s="417"/>
      <c r="H103" s="53"/>
      <c r="I103" s="53"/>
      <c r="J103" s="53"/>
      <c r="K103" s="53"/>
      <c r="L103" s="53"/>
      <c r="M103" s="53"/>
      <c r="N103" s="53"/>
    </row>
    <row r="104" spans="1:14" x14ac:dyDescent="0.4">
      <c r="A104" s="2"/>
      <c r="B104" s="418" t="s">
        <v>85</v>
      </c>
      <c r="C104" s="419"/>
      <c r="D104" s="419"/>
      <c r="E104" s="419"/>
      <c r="F104" s="419"/>
      <c r="G104" s="420"/>
      <c r="H104" s="53"/>
      <c r="I104" s="53"/>
      <c r="J104" s="53"/>
      <c r="K104" s="53"/>
      <c r="L104" s="53"/>
      <c r="M104" s="53"/>
      <c r="N104" s="53"/>
    </row>
    <row r="105" spans="1:14" x14ac:dyDescent="0.4">
      <c r="A105" s="2"/>
      <c r="B105" s="363"/>
      <c r="C105" s="368"/>
      <c r="D105" s="368"/>
      <c r="E105" s="368"/>
      <c r="F105" s="368"/>
      <c r="G105" s="369"/>
      <c r="H105" s="53"/>
      <c r="I105" s="53"/>
      <c r="J105" s="53"/>
      <c r="K105" s="53"/>
      <c r="L105" s="53"/>
      <c r="M105" s="53"/>
      <c r="N105" s="53"/>
    </row>
    <row r="106" spans="1:14" x14ac:dyDescent="0.4">
      <c r="C106" s="407"/>
      <c r="D106" s="407"/>
      <c r="E106" s="407"/>
      <c r="F106" s="407"/>
      <c r="G106" s="407"/>
      <c r="H106" s="53"/>
      <c r="I106" s="53"/>
    </row>
    <row r="107" spans="1:14" x14ac:dyDescent="0.4">
      <c r="A107" s="9">
        <v>14</v>
      </c>
      <c r="B107" s="61" t="s">
        <v>78</v>
      </c>
      <c r="C107" s="356" t="s">
        <v>13</v>
      </c>
      <c r="D107" s="357"/>
      <c r="E107" s="357"/>
      <c r="F107" s="357"/>
      <c r="G107" s="408"/>
    </row>
    <row r="108" spans="1:14" x14ac:dyDescent="0.4">
      <c r="A108" s="23"/>
      <c r="C108" s="69"/>
      <c r="D108" s="69"/>
      <c r="E108" s="69"/>
      <c r="F108" s="69"/>
      <c r="G108" s="69"/>
    </row>
    <row r="109" spans="1:14" x14ac:dyDescent="0.4">
      <c r="B109" s="409" t="s">
        <v>163</v>
      </c>
      <c r="C109" s="410"/>
      <c r="D109" s="410"/>
      <c r="E109" s="410"/>
      <c r="F109" s="410"/>
      <c r="G109" s="410"/>
      <c r="H109" s="410"/>
    </row>
  </sheetData>
  <sheetProtection password="E9DF" sheet="1" objects="1" scenarios="1"/>
  <mergeCells count="57">
    <mergeCell ref="B109:H109"/>
    <mergeCell ref="B77:N77"/>
    <mergeCell ref="B78:N78"/>
    <mergeCell ref="B80:G80"/>
    <mergeCell ref="B83:B87"/>
    <mergeCell ref="B88:B92"/>
    <mergeCell ref="B93:B97"/>
    <mergeCell ref="B103:G103"/>
    <mergeCell ref="B104:G104"/>
    <mergeCell ref="B105:G105"/>
    <mergeCell ref="C106:G106"/>
    <mergeCell ref="C107:G107"/>
    <mergeCell ref="B76:N76"/>
    <mergeCell ref="C56:E56"/>
    <mergeCell ref="C57:E57"/>
    <mergeCell ref="B58:E58"/>
    <mergeCell ref="B59:E59"/>
    <mergeCell ref="C62:E62"/>
    <mergeCell ref="B68:B69"/>
    <mergeCell ref="C68:C69"/>
    <mergeCell ref="D68:D69"/>
    <mergeCell ref="E68:E69"/>
    <mergeCell ref="F68:H68"/>
    <mergeCell ref="I68:K68"/>
    <mergeCell ref="L68:N68"/>
    <mergeCell ref="B74:N74"/>
    <mergeCell ref="B75:N75"/>
    <mergeCell ref="B48:E48"/>
    <mergeCell ref="B51:E51"/>
    <mergeCell ref="B53:E53"/>
    <mergeCell ref="B54:B55"/>
    <mergeCell ref="C54:E54"/>
    <mergeCell ref="C55:E55"/>
    <mergeCell ref="B46:E46"/>
    <mergeCell ref="C22:E22"/>
    <mergeCell ref="B23:E23"/>
    <mergeCell ref="B26:E26"/>
    <mergeCell ref="B27:E27"/>
    <mergeCell ref="B33:E33"/>
    <mergeCell ref="B35:E35"/>
    <mergeCell ref="B39:C39"/>
    <mergeCell ref="B42:E42"/>
    <mergeCell ref="C43:E43"/>
    <mergeCell ref="C44:E44"/>
    <mergeCell ref="C45:E45"/>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X297"/>
  <sheetViews>
    <sheetView topLeftCell="A90" workbookViewId="0">
      <selection activeCell="E96" sqref="E96"/>
    </sheetView>
  </sheetViews>
  <sheetFormatPr defaultColWidth="8.84375" defaultRowHeight="13.25" x14ac:dyDescent="0.4"/>
  <cols>
    <col min="1" max="1" width="8.84375" style="181"/>
    <col min="2" max="2" width="40.84375" style="181" customWidth="1"/>
    <col min="3" max="3" width="16.4609375" style="181" customWidth="1"/>
    <col min="4" max="4" width="15.84375" style="181" customWidth="1"/>
    <col min="5" max="5" width="21.3046875" style="181" customWidth="1"/>
    <col min="6" max="6" width="11.3046875" style="181" customWidth="1"/>
    <col min="7" max="7" width="12.69140625" style="181" customWidth="1"/>
    <col min="8" max="16384" width="8.84375" style="181"/>
  </cols>
  <sheetData>
    <row r="1" spans="1:50" x14ac:dyDescent="0.4">
      <c r="A1" s="355" t="s">
        <v>0</v>
      </c>
      <c r="B1" s="355"/>
      <c r="C1" s="8"/>
      <c r="D1" s="1"/>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row>
    <row r="2" spans="1:50" x14ac:dyDescent="0.4">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row>
    <row r="3" spans="1:50" ht="26.5" x14ac:dyDescent="0.4">
      <c r="A3" s="27" t="s">
        <v>1</v>
      </c>
      <c r="B3" s="3" t="s">
        <v>2</v>
      </c>
      <c r="C3" s="4" t="s">
        <v>758</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row>
    <row r="4" spans="1:50" x14ac:dyDescent="0.4">
      <c r="A4" s="8"/>
      <c r="B4" s="8"/>
      <c r="C4" s="8"/>
      <c r="D4" s="5"/>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row>
    <row r="5" spans="1:50" x14ac:dyDescent="0.4">
      <c r="A5" s="398">
        <v>1</v>
      </c>
      <c r="B5" s="267" t="s">
        <v>3</v>
      </c>
      <c r="C5" s="356" t="s">
        <v>702</v>
      </c>
      <c r="D5" s="357"/>
      <c r="E5" s="35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1:50" x14ac:dyDescent="0.4">
      <c r="A6" s="398"/>
      <c r="B6" s="362" t="s">
        <v>5</v>
      </c>
      <c r="C6" s="359"/>
      <c r="D6" s="359"/>
      <c r="E6" s="10"/>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0" x14ac:dyDescent="0.4">
      <c r="A7" s="9"/>
      <c r="B7" s="11"/>
      <c r="C7" s="8"/>
      <c r="D7" s="5"/>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row>
    <row r="8" spans="1:50" x14ac:dyDescent="0.4">
      <c r="A8" s="398">
        <v>2</v>
      </c>
      <c r="B8" s="267" t="s">
        <v>6</v>
      </c>
      <c r="C8" s="12" t="s">
        <v>784</v>
      </c>
      <c r="D8" s="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row>
    <row r="9" spans="1:50" x14ac:dyDescent="0.4">
      <c r="A9" s="398"/>
      <c r="B9" s="361" t="s">
        <v>5</v>
      </c>
      <c r="C9" s="361"/>
      <c r="D9" s="362"/>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row>
    <row r="10" spans="1:50" x14ac:dyDescent="0.4">
      <c r="A10" s="9"/>
      <c r="B10" s="11"/>
      <c r="C10" s="8"/>
      <c r="D10" s="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row>
    <row r="11" spans="1:50" x14ac:dyDescent="0.4">
      <c r="A11" s="398">
        <v>3</v>
      </c>
      <c r="B11" s="267" t="s">
        <v>7</v>
      </c>
      <c r="C11" s="356" t="s">
        <v>1108</v>
      </c>
      <c r="D11" s="357"/>
      <c r="E11" s="35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row>
    <row r="12" spans="1:50" x14ac:dyDescent="0.4">
      <c r="A12" s="398"/>
      <c r="B12" s="362" t="s">
        <v>5</v>
      </c>
      <c r="C12" s="359"/>
      <c r="D12" s="359"/>
      <c r="E12" s="10"/>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row>
    <row r="13" spans="1:50" x14ac:dyDescent="0.4">
      <c r="A13" s="9"/>
      <c r="B13" s="11"/>
      <c r="C13" s="8"/>
      <c r="D13" s="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row>
    <row r="14" spans="1:50" x14ac:dyDescent="0.4">
      <c r="A14" s="398">
        <v>4</v>
      </c>
      <c r="B14" s="3" t="s">
        <v>9</v>
      </c>
      <c r="C14" s="4" t="s">
        <v>874</v>
      </c>
      <c r="D14" s="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row>
    <row r="15" spans="1:50" x14ac:dyDescent="0.4">
      <c r="A15" s="398"/>
      <c r="B15" s="363" t="s">
        <v>10</v>
      </c>
      <c r="C15" s="364"/>
      <c r="D15" s="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row>
    <row r="16" spans="1:50" x14ac:dyDescent="0.4">
      <c r="A16" s="9"/>
      <c r="B16" s="8"/>
      <c r="C16" s="8"/>
      <c r="D16" s="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row>
    <row r="17" spans="1:50" x14ac:dyDescent="0.4">
      <c r="A17" s="398">
        <v>5</v>
      </c>
      <c r="B17" s="365" t="s">
        <v>1082</v>
      </c>
      <c r="C17" s="366"/>
      <c r="D17" s="366"/>
      <c r="E17" s="366"/>
      <c r="F17" s="11"/>
      <c r="G17" s="11"/>
      <c r="H17" s="11"/>
      <c r="I17" s="11"/>
      <c r="J17" s="13"/>
      <c r="K17" s="13"/>
      <c r="L17" s="13"/>
      <c r="M17" s="13"/>
      <c r="N17" s="13"/>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row>
    <row r="18" spans="1:50" x14ac:dyDescent="0.4">
      <c r="A18" s="398"/>
      <c r="B18" s="14" t="s">
        <v>12</v>
      </c>
      <c r="C18" s="367" t="s">
        <v>13</v>
      </c>
      <c r="D18" s="367"/>
      <c r="E18" s="367"/>
      <c r="F18" s="15"/>
      <c r="G18" s="13"/>
      <c r="H18" s="13"/>
      <c r="I18" s="13"/>
      <c r="J18" s="13"/>
      <c r="K18" s="13"/>
      <c r="L18" s="13"/>
      <c r="M18" s="13"/>
      <c r="N18" s="13"/>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row>
    <row r="19" spans="1:50" ht="25.65" x14ac:dyDescent="0.4">
      <c r="A19" s="398"/>
      <c r="B19" s="14" t="s">
        <v>1131</v>
      </c>
      <c r="C19" s="354" t="s">
        <v>13</v>
      </c>
      <c r="D19" s="354"/>
      <c r="E19" s="354"/>
      <c r="F19" s="15"/>
      <c r="G19" s="13"/>
      <c r="H19" s="8"/>
      <c r="I19" s="13"/>
      <c r="J19" s="13"/>
      <c r="K19" s="13"/>
      <c r="L19" s="13"/>
      <c r="M19" s="13"/>
      <c r="N19" s="13"/>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row>
    <row r="20" spans="1:50" x14ac:dyDescent="0.4">
      <c r="A20" s="398"/>
      <c r="B20" s="14" t="s">
        <v>605</v>
      </c>
      <c r="C20" s="354" t="s">
        <v>13</v>
      </c>
      <c r="D20" s="354"/>
      <c r="E20" s="354"/>
      <c r="F20" s="15"/>
      <c r="G20" s="13"/>
      <c r="H20" s="13"/>
      <c r="I20" s="13"/>
      <c r="J20" s="13"/>
      <c r="K20" s="13"/>
      <c r="L20" s="13"/>
      <c r="M20" s="13"/>
      <c r="N20" s="13"/>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x14ac:dyDescent="0.4">
      <c r="A21" s="398"/>
      <c r="B21" s="14" t="s">
        <v>15</v>
      </c>
      <c r="C21" s="354" t="s">
        <v>13</v>
      </c>
      <c r="D21" s="354"/>
      <c r="E21" s="354"/>
      <c r="F21" s="15"/>
      <c r="G21" s="13"/>
      <c r="H21" s="13"/>
      <c r="I21" s="13"/>
      <c r="J21" s="13"/>
      <c r="K21" s="13"/>
      <c r="L21" s="13"/>
      <c r="M21" s="13"/>
      <c r="N21" s="13"/>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x14ac:dyDescent="0.4">
      <c r="A22" s="398"/>
      <c r="B22" s="16" t="s">
        <v>16</v>
      </c>
      <c r="C22" s="354" t="s">
        <v>13</v>
      </c>
      <c r="D22" s="354"/>
      <c r="E22" s="354"/>
      <c r="F22" s="15"/>
      <c r="G22" s="13"/>
      <c r="H22" s="13"/>
      <c r="I22" s="13"/>
      <c r="J22" s="13"/>
      <c r="K22" s="13"/>
      <c r="L22" s="13"/>
      <c r="M22" s="13"/>
      <c r="N22" s="13"/>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x14ac:dyDescent="0.4">
      <c r="A23" s="398"/>
      <c r="B23" s="363" t="s">
        <v>709</v>
      </c>
      <c r="C23" s="368"/>
      <c r="D23" s="368"/>
      <c r="E23" s="369"/>
      <c r="F23" s="15"/>
      <c r="G23" s="13"/>
      <c r="H23" s="13"/>
      <c r="I23" s="13"/>
      <c r="J23" s="13"/>
      <c r="K23" s="13"/>
      <c r="L23" s="13"/>
      <c r="M23" s="13"/>
      <c r="N23" s="13"/>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x14ac:dyDescent="0.4">
      <c r="A24" s="9"/>
      <c r="B24" s="8"/>
      <c r="C24" s="13"/>
      <c r="D24" s="13"/>
      <c r="E24" s="13"/>
      <c r="F24" s="15"/>
      <c r="G24" s="13"/>
      <c r="H24" s="13"/>
      <c r="I24" s="13"/>
      <c r="J24" s="13"/>
      <c r="K24" s="13"/>
      <c r="L24" s="13"/>
      <c r="M24" s="13"/>
      <c r="N24" s="13"/>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x14ac:dyDescent="0.4">
      <c r="A25" s="9"/>
      <c r="B25" s="15"/>
      <c r="C25" s="15"/>
      <c r="D25" s="15"/>
      <c r="E25" s="15"/>
      <c r="F25" s="15"/>
      <c r="G25" s="13"/>
      <c r="H25" s="13"/>
      <c r="I25" s="13"/>
      <c r="J25" s="13"/>
      <c r="K25" s="13"/>
      <c r="L25" s="13"/>
      <c r="M25" s="13"/>
      <c r="N25" s="13"/>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x14ac:dyDescent="0.4">
      <c r="A26" s="398">
        <v>6</v>
      </c>
      <c r="B26" s="365" t="s">
        <v>1083</v>
      </c>
      <c r="C26" s="365"/>
      <c r="D26" s="365"/>
      <c r="E26" s="365"/>
      <c r="F26" s="11"/>
      <c r="G26" s="11"/>
      <c r="H26" s="13"/>
      <c r="I26" s="11"/>
      <c r="J26" s="11"/>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x14ac:dyDescent="0.4">
      <c r="A27" s="398"/>
      <c r="B27" s="370" t="s">
        <v>19</v>
      </c>
      <c r="C27" s="371"/>
      <c r="D27" s="371"/>
      <c r="E27" s="372"/>
      <c r="F27" s="15"/>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x14ac:dyDescent="0.4">
      <c r="A28" s="398"/>
      <c r="B28" s="17" t="s">
        <v>20</v>
      </c>
      <c r="C28" s="18" t="s">
        <v>262</v>
      </c>
      <c r="D28" s="18" t="s">
        <v>263</v>
      </c>
      <c r="E28" s="18" t="s">
        <v>23</v>
      </c>
      <c r="F28" s="15"/>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ht="13.25" customHeight="1" x14ac:dyDescent="0.4">
      <c r="A29" s="398"/>
      <c r="B29" s="19" t="s">
        <v>24</v>
      </c>
      <c r="C29" s="20">
        <v>764.54</v>
      </c>
      <c r="D29" s="20">
        <v>1045.5</v>
      </c>
      <c r="E29" s="113">
        <v>1592.97</v>
      </c>
      <c r="F29" s="1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x14ac:dyDescent="0.4">
      <c r="A30" s="398"/>
      <c r="B30" s="19" t="s">
        <v>25</v>
      </c>
      <c r="C30" s="20">
        <v>112.69</v>
      </c>
      <c r="D30" s="20">
        <v>201.72</v>
      </c>
      <c r="E30" s="20">
        <v>437.46</v>
      </c>
      <c r="F30" s="15"/>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x14ac:dyDescent="0.4">
      <c r="A31" s="398"/>
      <c r="B31" s="19" t="s">
        <v>26</v>
      </c>
      <c r="C31" s="20">
        <v>470.07</v>
      </c>
      <c r="D31" s="20">
        <v>470.07</v>
      </c>
      <c r="E31" s="20">
        <v>1034.1500000000001</v>
      </c>
      <c r="F31" s="15"/>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x14ac:dyDescent="0.4">
      <c r="A32" s="398"/>
      <c r="B32" s="19" t="s">
        <v>27</v>
      </c>
      <c r="C32" s="20">
        <v>293.8</v>
      </c>
      <c r="D32" s="20">
        <v>495.52</v>
      </c>
      <c r="E32" s="20">
        <v>368.89</v>
      </c>
      <c r="F32" s="15"/>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x14ac:dyDescent="0.4">
      <c r="A33" s="398"/>
      <c r="B33" s="363" t="s">
        <v>709</v>
      </c>
      <c r="C33" s="368"/>
      <c r="D33" s="368"/>
      <c r="E33" s="369"/>
      <c r="F33" s="15"/>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x14ac:dyDescent="0.4">
      <c r="A34" s="9"/>
      <c r="B34" s="13"/>
      <c r="C34" s="15"/>
      <c r="D34" s="15"/>
      <c r="E34" s="15"/>
      <c r="F34" s="15"/>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ht="30.7" customHeight="1" x14ac:dyDescent="0.4">
      <c r="A35" s="398">
        <v>7</v>
      </c>
      <c r="B35" s="376" t="s">
        <v>28</v>
      </c>
      <c r="C35" s="365"/>
      <c r="D35" s="365"/>
      <c r="E35" s="365"/>
      <c r="F35" s="11"/>
      <c r="G35" s="11"/>
      <c r="H35" s="11"/>
      <c r="I35" s="11"/>
      <c r="J35" s="11"/>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x14ac:dyDescent="0.4">
      <c r="A36" s="398"/>
      <c r="B36" s="266" t="s">
        <v>29</v>
      </c>
      <c r="C36" s="20" t="s">
        <v>183</v>
      </c>
      <c r="D36" s="13"/>
      <c r="E36" s="13"/>
      <c r="F36" s="13"/>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x14ac:dyDescent="0.4">
      <c r="A37" s="398"/>
      <c r="B37" s="266" t="s">
        <v>31</v>
      </c>
      <c r="C37" s="20" t="s">
        <v>183</v>
      </c>
      <c r="D37" s="13"/>
      <c r="E37" s="13"/>
      <c r="F37" s="13"/>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x14ac:dyDescent="0.4">
      <c r="A38" s="398"/>
      <c r="B38" s="274" t="s">
        <v>32</v>
      </c>
      <c r="C38" s="20" t="s">
        <v>183</v>
      </c>
      <c r="D38" s="13"/>
      <c r="E38" s="13"/>
      <c r="F38" s="13"/>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31.5" customHeight="1" x14ac:dyDescent="0.4">
      <c r="A39" s="398"/>
      <c r="B39" s="362" t="s">
        <v>559</v>
      </c>
      <c r="C39" s="359"/>
      <c r="D39" s="13"/>
      <c r="E39" s="13"/>
      <c r="F39" s="13"/>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x14ac:dyDescent="0.4">
      <c r="A40" s="9"/>
      <c r="B40" s="8"/>
      <c r="C40" s="13"/>
      <c r="D40" s="13"/>
      <c r="E40" s="13"/>
      <c r="F40" s="13"/>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x14ac:dyDescent="0.4">
      <c r="A41" s="9"/>
      <c r="B41" s="15"/>
      <c r="C41" s="13"/>
      <c r="D41" s="13"/>
      <c r="E41" s="13"/>
      <c r="F41" s="13"/>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row>
    <row r="42" spans="1:50" x14ac:dyDescent="0.4">
      <c r="A42" s="398">
        <v>8</v>
      </c>
      <c r="B42" s="365" t="s">
        <v>1084</v>
      </c>
      <c r="C42" s="365"/>
      <c r="D42" s="365"/>
      <c r="E42" s="365"/>
      <c r="F42" s="11"/>
      <c r="G42" s="11"/>
      <c r="H42" s="11"/>
      <c r="I42" s="11"/>
      <c r="J42" s="11"/>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row>
    <row r="43" spans="1:50" x14ac:dyDescent="0.4">
      <c r="A43" s="398"/>
      <c r="B43" s="17" t="s">
        <v>34</v>
      </c>
      <c r="C43" s="373" t="s">
        <v>730</v>
      </c>
      <c r="D43" s="374"/>
      <c r="E43" s="375"/>
      <c r="F43" s="13"/>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row>
    <row r="44" spans="1:50" x14ac:dyDescent="0.4">
      <c r="A44" s="398"/>
      <c r="B44" s="17" t="s">
        <v>31</v>
      </c>
      <c r="C44" s="373" t="s">
        <v>730</v>
      </c>
      <c r="D44" s="374"/>
      <c r="E44" s="375"/>
      <c r="F44" s="13"/>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row>
    <row r="45" spans="1:50" ht="28.5" customHeight="1" x14ac:dyDescent="0.45">
      <c r="A45" s="398"/>
      <c r="B45" s="17" t="s">
        <v>32</v>
      </c>
      <c r="C45" s="446" t="s">
        <v>875</v>
      </c>
      <c r="D45" s="446"/>
      <c r="E45" s="446"/>
      <c r="F45" s="182"/>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row>
    <row r="46" spans="1:50" ht="15.05" x14ac:dyDescent="0.45">
      <c r="A46" s="398"/>
      <c r="B46" s="363" t="s">
        <v>35</v>
      </c>
      <c r="C46" s="368"/>
      <c r="D46" s="368"/>
      <c r="E46" s="369"/>
      <c r="F46" s="182"/>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row>
    <row r="47" spans="1:50" ht="15.05" x14ac:dyDescent="0.45">
      <c r="A47" s="2"/>
      <c r="B47" s="8"/>
      <c r="C47" s="8"/>
      <c r="D47" s="23"/>
      <c r="E47" s="13"/>
      <c r="F47" s="182"/>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row>
    <row r="48" spans="1:50" x14ac:dyDescent="0.4">
      <c r="A48" s="398">
        <v>9</v>
      </c>
      <c r="B48" s="365" t="s">
        <v>1085</v>
      </c>
      <c r="C48" s="365"/>
      <c r="D48" s="365"/>
      <c r="E48" s="365"/>
      <c r="F48" s="25"/>
      <c r="G48" s="11"/>
      <c r="H48" s="11"/>
      <c r="I48" s="11"/>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row>
    <row r="49" spans="1:50" ht="25.65" x14ac:dyDescent="0.4">
      <c r="A49" s="398"/>
      <c r="B49" s="27" t="s">
        <v>37</v>
      </c>
      <c r="C49" s="27" t="s">
        <v>38</v>
      </c>
      <c r="D49" s="28" t="s">
        <v>39</v>
      </c>
      <c r="E49" s="27" t="s">
        <v>206</v>
      </c>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row>
    <row r="50" spans="1:50" ht="238.55" x14ac:dyDescent="0.4">
      <c r="A50" s="398"/>
      <c r="B50" s="78" t="s">
        <v>876</v>
      </c>
      <c r="C50" s="278" t="s">
        <v>877</v>
      </c>
      <c r="D50" s="281" t="s">
        <v>1139</v>
      </c>
      <c r="E50" s="281" t="s">
        <v>1140</v>
      </c>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row>
    <row r="51" spans="1:50" x14ac:dyDescent="0.4">
      <c r="A51" s="398"/>
      <c r="B51" s="480" t="s">
        <v>792</v>
      </c>
      <c r="C51" s="480"/>
      <c r="D51" s="480"/>
      <c r="E51" s="480"/>
      <c r="F51" s="15"/>
      <c r="G51" s="15"/>
      <c r="H51" s="15"/>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row>
    <row r="52" spans="1:50" x14ac:dyDescent="0.4">
      <c r="A52" s="9"/>
      <c r="B52" s="62"/>
      <c r="C52" s="23"/>
      <c r="D52" s="23"/>
      <c r="E52" s="23"/>
      <c r="F52" s="15"/>
      <c r="G52" s="15"/>
      <c r="H52" s="15"/>
      <c r="I52" s="15"/>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row>
    <row r="53" spans="1:50" x14ac:dyDescent="0.4">
      <c r="A53" s="398">
        <v>10</v>
      </c>
      <c r="B53" s="376" t="s">
        <v>1129</v>
      </c>
      <c r="C53" s="365"/>
      <c r="D53" s="365"/>
      <c r="E53" s="365"/>
      <c r="F53" s="15"/>
      <c r="G53" s="15"/>
      <c r="H53" s="15"/>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row>
    <row r="54" spans="1:50" ht="24" customHeight="1" x14ac:dyDescent="0.4">
      <c r="A54" s="398"/>
      <c r="B54" s="383" t="s">
        <v>43</v>
      </c>
      <c r="C54" s="481" t="s">
        <v>1136</v>
      </c>
      <c r="D54" s="482"/>
      <c r="E54" s="483"/>
      <c r="F54" s="8"/>
      <c r="G54" s="8"/>
      <c r="H54" s="8"/>
      <c r="I54" s="8"/>
      <c r="J54" s="8"/>
      <c r="K54" s="1"/>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row>
    <row r="55" spans="1:50" ht="66.05" customHeight="1" x14ac:dyDescent="0.4">
      <c r="A55" s="398"/>
      <c r="B55" s="384"/>
      <c r="C55" s="484"/>
      <c r="D55" s="485"/>
      <c r="E55" s="486"/>
      <c r="F55" s="8"/>
      <c r="G55" s="8"/>
      <c r="H55" s="8"/>
      <c r="I55" s="8"/>
      <c r="J55" s="8"/>
      <c r="K55" s="1"/>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row>
    <row r="56" spans="1:50" ht="87.8" customHeight="1" x14ac:dyDescent="0.4">
      <c r="A56" s="398"/>
      <c r="B56" s="33" t="s">
        <v>44</v>
      </c>
      <c r="C56" s="479" t="s">
        <v>1141</v>
      </c>
      <c r="D56" s="479"/>
      <c r="E56" s="479"/>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row>
    <row r="57" spans="1:50" ht="84.05" customHeight="1" x14ac:dyDescent="0.4">
      <c r="A57" s="398"/>
      <c r="B57" s="33" t="s">
        <v>45</v>
      </c>
      <c r="C57" s="487" t="s">
        <v>1140</v>
      </c>
      <c r="D57" s="488"/>
      <c r="E57" s="489"/>
      <c r="F57" s="8"/>
      <c r="G57" s="8"/>
      <c r="H57" s="8"/>
      <c r="I57" s="8"/>
      <c r="J57" s="8"/>
      <c r="K57" s="34"/>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row>
    <row r="58" spans="1:50" x14ac:dyDescent="0.4">
      <c r="A58" s="398"/>
      <c r="B58" s="380" t="s">
        <v>792</v>
      </c>
      <c r="C58" s="381"/>
      <c r="D58" s="381"/>
      <c r="E58" s="382"/>
      <c r="F58" s="8"/>
      <c r="G58" s="8"/>
      <c r="H58" s="8"/>
      <c r="I58" s="8"/>
      <c r="J58" s="8"/>
      <c r="K58" s="34"/>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row>
    <row r="59" spans="1:50" s="183" customFormat="1" x14ac:dyDescent="0.35">
      <c r="A59" s="398"/>
      <c r="B59" s="490" t="s">
        <v>48</v>
      </c>
      <c r="C59" s="491"/>
      <c r="D59" s="491"/>
      <c r="E59" s="492"/>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row>
    <row r="60" spans="1:50" x14ac:dyDescent="0.4">
      <c r="A60" s="40"/>
      <c r="B60" s="41"/>
      <c r="C60" s="42"/>
      <c r="D60" s="42"/>
      <c r="E60" s="42"/>
      <c r="F60" s="42"/>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row>
    <row r="61" spans="1:50" x14ac:dyDescent="0.4">
      <c r="A61" s="18">
        <v>11</v>
      </c>
      <c r="B61" s="3" t="s">
        <v>49</v>
      </c>
      <c r="C61" s="393" t="s">
        <v>1130</v>
      </c>
      <c r="D61" s="393"/>
      <c r="E61" s="393"/>
      <c r="F61" s="11"/>
      <c r="G61" s="11"/>
      <c r="H61" s="43"/>
      <c r="I61" s="11"/>
      <c r="J61" s="11"/>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row>
    <row r="62" spans="1:50" x14ac:dyDescent="0.4">
      <c r="A62" s="9"/>
      <c r="B62" s="15"/>
      <c r="C62" s="15"/>
      <c r="D62" s="15"/>
      <c r="E62" s="15"/>
      <c r="F62" s="15"/>
      <c r="G62" s="15"/>
      <c r="H62" s="44"/>
      <c r="I62" s="44"/>
      <c r="J62" s="15"/>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row>
    <row r="63" spans="1:50" x14ac:dyDescent="0.4">
      <c r="A63" s="398">
        <v>12</v>
      </c>
      <c r="B63" s="11" t="s">
        <v>51</v>
      </c>
      <c r="C63" s="11"/>
      <c r="D63" s="11"/>
      <c r="E63" s="43"/>
      <c r="F63" s="43"/>
      <c r="G63" s="11"/>
      <c r="H63" s="11"/>
      <c r="I63" s="11"/>
      <c r="J63" s="11"/>
      <c r="K63" s="11"/>
      <c r="L63" s="11"/>
      <c r="M63" s="11"/>
      <c r="N63" s="11"/>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row>
    <row r="64" spans="1:50" x14ac:dyDescent="0.4">
      <c r="A64" s="398"/>
      <c r="B64" s="11"/>
      <c r="C64" s="11"/>
      <c r="D64" s="11"/>
      <c r="E64" s="43"/>
      <c r="F64" s="43"/>
      <c r="G64" s="43"/>
      <c r="H64" s="11"/>
      <c r="I64" s="11"/>
      <c r="J64" s="11"/>
      <c r="K64" s="11"/>
      <c r="L64" s="11"/>
      <c r="M64" s="11"/>
      <c r="N64" s="11"/>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row>
    <row r="65" spans="1:50" x14ac:dyDescent="0.4">
      <c r="A65" s="398"/>
      <c r="B65" s="266" t="s">
        <v>52</v>
      </c>
      <c r="C65" s="19" t="s">
        <v>791</v>
      </c>
      <c r="D65" s="15"/>
      <c r="E65" s="15"/>
      <c r="F65" s="44"/>
      <c r="G65" s="44"/>
      <c r="H65" s="15"/>
      <c r="I65" s="15"/>
      <c r="J65" s="15"/>
      <c r="K65" s="15"/>
      <c r="L65" s="15"/>
      <c r="M65" s="15"/>
      <c r="N65" s="15"/>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row>
    <row r="66" spans="1:50" x14ac:dyDescent="0.4">
      <c r="A66" s="398"/>
      <c r="B66" s="15"/>
      <c r="C66" s="15"/>
      <c r="D66" s="118"/>
      <c r="E66" s="118"/>
      <c r="F66" s="15"/>
      <c r="G66" s="15"/>
      <c r="H66" s="15"/>
      <c r="I66" s="15"/>
      <c r="J66" s="15"/>
      <c r="K66" s="15"/>
      <c r="L66" s="15"/>
      <c r="M66" s="15"/>
      <c r="N66" s="15"/>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row>
    <row r="67" spans="1:50" x14ac:dyDescent="0.4">
      <c r="A67" s="398"/>
      <c r="B67" s="376" t="s">
        <v>53</v>
      </c>
      <c r="C67" s="366" t="s">
        <v>790</v>
      </c>
      <c r="D67" s="366" t="s">
        <v>271</v>
      </c>
      <c r="E67" s="403" t="s">
        <v>232</v>
      </c>
      <c r="F67" s="395" t="s">
        <v>864</v>
      </c>
      <c r="G67" s="396"/>
      <c r="H67" s="397"/>
      <c r="I67" s="398" t="s">
        <v>865</v>
      </c>
      <c r="J67" s="398"/>
      <c r="K67" s="398"/>
      <c r="L67" s="398" t="s">
        <v>56</v>
      </c>
      <c r="M67" s="398"/>
      <c r="N67" s="39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38.450000000000003" x14ac:dyDescent="0.4">
      <c r="A68" s="398"/>
      <c r="B68" s="376"/>
      <c r="C68" s="402"/>
      <c r="D68" s="402"/>
      <c r="E68" s="404"/>
      <c r="F68" s="17" t="s">
        <v>57</v>
      </c>
      <c r="G68" s="17" t="s">
        <v>58</v>
      </c>
      <c r="H68" s="17" t="s">
        <v>59</v>
      </c>
      <c r="I68" s="17" t="s">
        <v>60</v>
      </c>
      <c r="J68" s="17" t="s">
        <v>58</v>
      </c>
      <c r="K68" s="17" t="s">
        <v>59</v>
      </c>
      <c r="L68" s="17" t="s">
        <v>60</v>
      </c>
      <c r="M68" s="17" t="s">
        <v>58</v>
      </c>
      <c r="N68" s="17" t="s">
        <v>59</v>
      </c>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row>
    <row r="69" spans="1:50" x14ac:dyDescent="0.4">
      <c r="A69" s="398"/>
      <c r="B69" s="266" t="s">
        <v>61</v>
      </c>
      <c r="C69" s="111">
        <v>22</v>
      </c>
      <c r="D69" s="45">
        <v>14</v>
      </c>
      <c r="E69" s="45">
        <v>13.2</v>
      </c>
      <c r="F69" s="45">
        <v>13.2</v>
      </c>
      <c r="G69" s="45">
        <v>22.05</v>
      </c>
      <c r="H69" s="45">
        <v>12.05</v>
      </c>
      <c r="I69" s="45">
        <v>13.5</v>
      </c>
      <c r="J69" s="45">
        <v>29</v>
      </c>
      <c r="K69" s="45">
        <v>13</v>
      </c>
      <c r="L69" s="45">
        <v>41.55</v>
      </c>
      <c r="M69" s="45">
        <v>145</v>
      </c>
      <c r="N69" s="45">
        <v>12.25</v>
      </c>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row>
    <row r="70" spans="1:50" ht="25.65" x14ac:dyDescent="0.4">
      <c r="A70" s="398"/>
      <c r="B70" s="266" t="s">
        <v>216</v>
      </c>
      <c r="C70" s="111">
        <v>41859.69</v>
      </c>
      <c r="D70" s="111">
        <v>41565.9</v>
      </c>
      <c r="E70" s="45">
        <v>31159.62</v>
      </c>
      <c r="F70" s="45">
        <v>29468.49</v>
      </c>
      <c r="G70" s="45">
        <v>42273.87</v>
      </c>
      <c r="H70" s="45">
        <v>25638.9</v>
      </c>
      <c r="I70" s="46">
        <v>49509.15</v>
      </c>
      <c r="J70" s="46">
        <v>52516.76</v>
      </c>
      <c r="K70" s="46">
        <v>27500.79</v>
      </c>
      <c r="L70" s="45">
        <v>58568.51</v>
      </c>
      <c r="M70" s="45">
        <v>62245.43</v>
      </c>
      <c r="N70" s="45">
        <v>47204.5</v>
      </c>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row>
    <row r="71" spans="1:50" x14ac:dyDescent="0.4">
      <c r="A71" s="398"/>
      <c r="B71" s="467" t="s">
        <v>17</v>
      </c>
      <c r="C71" s="459"/>
      <c r="D71" s="459"/>
      <c r="E71" s="401"/>
      <c r="F71" s="401"/>
      <c r="G71" s="401"/>
      <c r="H71" s="401"/>
      <c r="I71" s="401"/>
      <c r="J71" s="401"/>
      <c r="K71" s="401"/>
      <c r="L71" s="401"/>
      <c r="M71" s="401"/>
      <c r="N71" s="401"/>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row>
    <row r="72" spans="1:50" x14ac:dyDescent="0.4">
      <c r="A72" s="398"/>
      <c r="B72" s="362" t="s">
        <v>63</v>
      </c>
      <c r="C72" s="359"/>
      <c r="D72" s="359"/>
      <c r="E72" s="359"/>
      <c r="F72" s="359"/>
      <c r="G72" s="359"/>
      <c r="H72" s="359"/>
      <c r="I72" s="359"/>
      <c r="J72" s="359"/>
      <c r="K72" s="359"/>
      <c r="L72" s="359"/>
      <c r="M72" s="359"/>
      <c r="N72" s="359"/>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row>
    <row r="73" spans="1:50" s="184" customFormat="1" x14ac:dyDescent="0.4">
      <c r="A73" s="398"/>
      <c r="B73" s="362" t="s">
        <v>64</v>
      </c>
      <c r="C73" s="359"/>
      <c r="D73" s="359"/>
      <c r="E73" s="359"/>
      <c r="F73" s="359"/>
      <c r="G73" s="359"/>
      <c r="H73" s="359"/>
      <c r="I73" s="359"/>
      <c r="J73" s="359"/>
      <c r="K73" s="359"/>
      <c r="L73" s="359"/>
      <c r="M73" s="359"/>
      <c r="N73" s="359"/>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4">
      <c r="A74" s="398"/>
      <c r="B74" s="362" t="s">
        <v>358</v>
      </c>
      <c r="C74" s="359"/>
      <c r="D74" s="359"/>
      <c r="E74" s="359"/>
      <c r="F74" s="359"/>
      <c r="G74" s="359"/>
      <c r="H74" s="359"/>
      <c r="I74" s="359"/>
      <c r="J74" s="359"/>
      <c r="K74" s="359"/>
      <c r="L74" s="359"/>
      <c r="M74" s="359"/>
      <c r="N74" s="359"/>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row>
    <row r="75" spans="1:50" x14ac:dyDescent="0.4">
      <c r="A75" s="398"/>
      <c r="B75" s="362" t="s">
        <v>65</v>
      </c>
      <c r="C75" s="359"/>
      <c r="D75" s="359"/>
      <c r="E75" s="359"/>
      <c r="F75" s="359"/>
      <c r="G75" s="359"/>
      <c r="H75" s="359"/>
      <c r="I75" s="359"/>
      <c r="J75" s="359"/>
      <c r="K75" s="359"/>
      <c r="L75" s="359"/>
      <c r="M75" s="359"/>
      <c r="N75" s="359"/>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row>
    <row r="76" spans="1:50" x14ac:dyDescent="0.4">
      <c r="A76" s="2"/>
      <c r="B76" s="49"/>
      <c r="C76" s="49"/>
      <c r="D76" s="49"/>
      <c r="E76" s="49"/>
      <c r="F76" s="49"/>
      <c r="G76" s="13"/>
      <c r="H76" s="13"/>
      <c r="I76" s="13"/>
      <c r="J76" s="13"/>
      <c r="K76" s="13"/>
      <c r="L76" s="13"/>
      <c r="M76" s="13"/>
      <c r="N76" s="13"/>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row>
    <row r="77" spans="1:50" x14ac:dyDescent="0.4">
      <c r="A77" s="478">
        <v>13</v>
      </c>
      <c r="B77" s="405" t="s">
        <v>66</v>
      </c>
      <c r="C77" s="406"/>
      <c r="D77" s="406"/>
      <c r="E77" s="406"/>
      <c r="F77" s="406"/>
      <c r="G77" s="376"/>
      <c r="H77" s="11"/>
      <c r="I77" s="11"/>
      <c r="J77" s="11"/>
      <c r="K77" s="11"/>
      <c r="L77" s="11"/>
      <c r="M77" s="11"/>
      <c r="N77" s="11"/>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row>
    <row r="78" spans="1:50" x14ac:dyDescent="0.4">
      <c r="A78" s="478"/>
      <c r="B78" s="8"/>
      <c r="C78" s="15"/>
      <c r="D78" s="15"/>
      <c r="E78" s="15"/>
      <c r="F78" s="15"/>
      <c r="G78" s="15"/>
      <c r="H78" s="15"/>
      <c r="I78" s="15"/>
      <c r="J78" s="15"/>
      <c r="K78" s="15"/>
      <c r="L78" s="15"/>
      <c r="M78" s="15"/>
      <c r="N78" s="15"/>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row>
    <row r="79" spans="1:50" ht="25.65" x14ac:dyDescent="0.4">
      <c r="A79" s="478"/>
      <c r="B79" s="50" t="s">
        <v>67</v>
      </c>
      <c r="C79" s="18" t="s">
        <v>68</v>
      </c>
      <c r="D79" s="18" t="s">
        <v>1127</v>
      </c>
      <c r="E79" s="18" t="s">
        <v>218</v>
      </c>
      <c r="F79" s="18" t="s">
        <v>71</v>
      </c>
      <c r="G79" s="18" t="s">
        <v>107</v>
      </c>
      <c r="H79" s="13"/>
      <c r="I79" s="13"/>
      <c r="J79" s="13"/>
      <c r="K79" s="13"/>
      <c r="L79" s="13"/>
      <c r="M79" s="13"/>
      <c r="N79" s="13"/>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row>
    <row r="80" spans="1:50" ht="13.25" customHeight="1" x14ac:dyDescent="0.35">
      <c r="A80" s="478"/>
      <c r="B80" s="394" t="s">
        <v>72</v>
      </c>
      <c r="C80" s="3" t="s">
        <v>786</v>
      </c>
      <c r="D80" s="65">
        <v>1.03</v>
      </c>
      <c r="E80" s="65">
        <v>3.13</v>
      </c>
      <c r="F80" s="65">
        <v>4.29</v>
      </c>
      <c r="G80" s="66">
        <v>4.2300000000000004</v>
      </c>
      <c r="H80" s="53"/>
      <c r="I80" s="53"/>
      <c r="J80" s="53"/>
      <c r="K80" s="53"/>
      <c r="L80" s="53"/>
      <c r="M80" s="53"/>
      <c r="N80" s="53"/>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row>
    <row r="81" spans="1:50" x14ac:dyDescent="0.4">
      <c r="A81" s="478"/>
      <c r="B81" s="394"/>
      <c r="C81" s="3" t="s">
        <v>73</v>
      </c>
      <c r="D81" s="54"/>
      <c r="E81" s="54"/>
      <c r="F81" s="54"/>
      <c r="G81" s="66"/>
      <c r="H81" s="53"/>
      <c r="I81" s="53"/>
      <c r="J81" s="53"/>
      <c r="K81" s="53"/>
      <c r="L81" s="53"/>
      <c r="M81" s="53"/>
      <c r="N81" s="53"/>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row>
    <row r="82" spans="1:50" x14ac:dyDescent="0.4">
      <c r="A82" s="478"/>
      <c r="B82" s="394"/>
      <c r="C82" s="21" t="s">
        <v>788</v>
      </c>
      <c r="D82" s="54">
        <v>23.74</v>
      </c>
      <c r="E82" s="54">
        <v>27.42</v>
      </c>
      <c r="F82" s="54">
        <v>35.33</v>
      </c>
      <c r="G82" s="70">
        <v>47.322524694589205</v>
      </c>
      <c r="H82" s="53"/>
      <c r="I82" s="53"/>
      <c r="J82" s="53"/>
      <c r="K82" s="53"/>
      <c r="L82" s="53"/>
      <c r="M82" s="53"/>
      <c r="N82" s="53"/>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row>
    <row r="83" spans="1:50" x14ac:dyDescent="0.4">
      <c r="A83" s="478"/>
      <c r="B83" s="394"/>
      <c r="C83" s="21" t="s">
        <v>789</v>
      </c>
      <c r="D83" s="54">
        <v>1.23</v>
      </c>
      <c r="E83" s="54">
        <v>1.0900000000000001</v>
      </c>
      <c r="F83" s="54">
        <v>2.33</v>
      </c>
      <c r="G83" s="70">
        <v>3.178800115760934</v>
      </c>
      <c r="H83" s="53"/>
      <c r="I83" s="53"/>
      <c r="J83" s="53"/>
      <c r="K83" s="53"/>
      <c r="L83" s="53"/>
      <c r="M83" s="53"/>
      <c r="N83" s="53"/>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row>
    <row r="84" spans="1:50" ht="26.5" x14ac:dyDescent="0.4">
      <c r="A84" s="478"/>
      <c r="B84" s="394"/>
      <c r="C84" s="21" t="s">
        <v>787</v>
      </c>
      <c r="D84" s="54">
        <v>17.84</v>
      </c>
      <c r="E84" s="54">
        <v>16.739999999999998</v>
      </c>
      <c r="F84" s="54">
        <v>21.41</v>
      </c>
      <c r="G84" s="70">
        <v>28.833722609381201</v>
      </c>
      <c r="H84" s="53"/>
      <c r="I84" s="53"/>
      <c r="J84" s="53"/>
      <c r="K84" s="53"/>
      <c r="L84" s="53"/>
      <c r="M84" s="53"/>
      <c r="N84" s="53"/>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row>
    <row r="85" spans="1:50" x14ac:dyDescent="0.4">
      <c r="A85" s="478"/>
      <c r="B85" s="394"/>
      <c r="C85" s="3" t="s">
        <v>74</v>
      </c>
      <c r="D85" s="127">
        <f>AVERAGE(D82:D84)</f>
        <v>14.270000000000001</v>
      </c>
      <c r="E85" s="127">
        <f t="shared" ref="E85:G85" si="0">AVERAGE(E82:E84)</f>
        <v>15.083333333333334</v>
      </c>
      <c r="F85" s="127">
        <f t="shared" si="0"/>
        <v>19.689999999999998</v>
      </c>
      <c r="G85" s="130">
        <f t="shared" si="0"/>
        <v>26.445015806577114</v>
      </c>
      <c r="H85" s="53"/>
      <c r="I85" s="53"/>
      <c r="J85" s="53"/>
      <c r="K85" s="53"/>
      <c r="L85" s="53"/>
      <c r="M85" s="53"/>
      <c r="N85" s="53"/>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row>
    <row r="86" spans="1:50" ht="26.5" x14ac:dyDescent="0.35">
      <c r="A86" s="478"/>
      <c r="B86" s="394" t="s">
        <v>75</v>
      </c>
      <c r="C86" s="3" t="s">
        <v>786</v>
      </c>
      <c r="D86" s="77">
        <v>21.36</v>
      </c>
      <c r="E86" s="77">
        <f>F69/E80</f>
        <v>4.2172523961661339</v>
      </c>
      <c r="F86" s="77">
        <f>I69/F80</f>
        <v>3.1468531468531467</v>
      </c>
      <c r="G86" s="66"/>
      <c r="H86" s="53"/>
      <c r="I86" s="53"/>
      <c r="J86" s="53"/>
      <c r="K86" s="53"/>
      <c r="L86" s="53"/>
      <c r="M86" s="53"/>
      <c r="N86" s="53"/>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row>
    <row r="87" spans="1:50" x14ac:dyDescent="0.4">
      <c r="A87" s="478"/>
      <c r="B87" s="394"/>
      <c r="C87" s="3" t="s">
        <v>73</v>
      </c>
      <c r="D87" s="54">
        <v>61.82</v>
      </c>
      <c r="E87" s="54"/>
      <c r="F87" s="54"/>
      <c r="G87" s="66"/>
      <c r="H87" s="53"/>
      <c r="I87" s="53"/>
      <c r="J87" s="53"/>
      <c r="K87" s="53"/>
      <c r="L87" s="53"/>
      <c r="M87" s="53"/>
      <c r="N87" s="53"/>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row>
    <row r="88" spans="1:50" x14ac:dyDescent="0.4">
      <c r="A88" s="478"/>
      <c r="B88" s="394"/>
      <c r="C88" s="21" t="s">
        <v>788</v>
      </c>
      <c r="D88" s="54">
        <v>29.98</v>
      </c>
      <c r="E88" s="54">
        <f>1401.7/E82</f>
        <v>51.119620714806707</v>
      </c>
      <c r="F88" s="54">
        <f>2707.5/F82</f>
        <v>76.63458816869516</v>
      </c>
      <c r="G88" s="70">
        <v>50.686788892038898</v>
      </c>
      <c r="H88" s="53"/>
      <c r="I88" s="53"/>
      <c r="J88" s="53"/>
      <c r="K88" s="53"/>
      <c r="L88" s="53"/>
      <c r="M88" s="53"/>
      <c r="N88" s="53"/>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row>
    <row r="89" spans="1:50" x14ac:dyDescent="0.4">
      <c r="A89" s="478"/>
      <c r="B89" s="394"/>
      <c r="C89" s="21" t="s">
        <v>789</v>
      </c>
      <c r="D89" s="54">
        <v>11.5</v>
      </c>
      <c r="E89" s="54">
        <f>8.11/E83</f>
        <v>7.4403669724770634</v>
      </c>
      <c r="F89" s="54">
        <f>13.9/F83</f>
        <v>5.9656652360515023</v>
      </c>
      <c r="G89" s="70">
        <v>16.366721142246899</v>
      </c>
      <c r="H89" s="53"/>
      <c r="I89" s="53"/>
      <c r="J89" s="53"/>
      <c r="K89" s="53"/>
      <c r="L89" s="53"/>
      <c r="M89" s="53"/>
      <c r="N89" s="53"/>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row>
    <row r="90" spans="1:50" ht="26.5" x14ac:dyDescent="0.4">
      <c r="A90" s="478"/>
      <c r="B90" s="394"/>
      <c r="C90" s="21" t="s">
        <v>787</v>
      </c>
      <c r="D90" s="54">
        <f>530.5/D84</f>
        <v>29.736547085201796</v>
      </c>
      <c r="E90" s="54">
        <f>495.55/E84</f>
        <v>29.602747909199525</v>
      </c>
      <c r="F90" s="54">
        <f>902.95/F84</f>
        <v>42.174217655301263</v>
      </c>
      <c r="G90" s="70">
        <v>19.997183175655699</v>
      </c>
      <c r="H90" s="53"/>
      <c r="I90" s="53"/>
      <c r="J90" s="53"/>
      <c r="K90" s="53"/>
      <c r="L90" s="53"/>
      <c r="M90" s="53"/>
      <c r="N90" s="53"/>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row>
    <row r="91" spans="1:50" x14ac:dyDescent="0.4">
      <c r="A91" s="478"/>
      <c r="B91" s="394"/>
      <c r="C91" s="3" t="s">
        <v>74</v>
      </c>
      <c r="D91" s="127">
        <f t="shared" ref="D91" si="1">AVERAGE(D88:D90)</f>
        <v>23.738849028400598</v>
      </c>
      <c r="E91" s="127">
        <f t="shared" ref="E91" si="2">AVERAGE(E88:E90)</f>
        <v>29.3875785321611</v>
      </c>
      <c r="F91" s="127">
        <f t="shared" ref="F91" si="3">AVERAGE(F88:F90)</f>
        <v>41.591490353349307</v>
      </c>
      <c r="G91" s="130">
        <f t="shared" ref="G91" si="4">AVERAGE(G88:G90)</f>
        <v>29.016897736647167</v>
      </c>
      <c r="H91" s="53"/>
      <c r="I91" s="53"/>
      <c r="J91" s="53"/>
      <c r="K91" s="53"/>
      <c r="L91" s="53"/>
      <c r="M91" s="53"/>
      <c r="N91" s="53"/>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row>
    <row r="92" spans="1:50" ht="26.5" x14ac:dyDescent="0.35">
      <c r="A92" s="478"/>
      <c r="B92" s="394" t="s">
        <v>76</v>
      </c>
      <c r="C92" s="3" t="s">
        <v>786</v>
      </c>
      <c r="D92" s="65">
        <v>9.31</v>
      </c>
      <c r="E92" s="77">
        <f>112.69/763.87*100</f>
        <v>14.752510243889667</v>
      </c>
      <c r="F92" s="77">
        <f>201.72/965.59*100</f>
        <v>20.890854296336954</v>
      </c>
      <c r="G92" s="66"/>
      <c r="H92" s="53"/>
      <c r="I92" s="53"/>
      <c r="J92" s="53"/>
      <c r="K92" s="53"/>
      <c r="L92" s="53"/>
      <c r="M92" s="53"/>
      <c r="N92" s="53"/>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row>
    <row r="93" spans="1:50" x14ac:dyDescent="0.4">
      <c r="A93" s="478"/>
      <c r="B93" s="394"/>
      <c r="C93" s="3" t="s">
        <v>73</v>
      </c>
      <c r="D93" s="54"/>
      <c r="E93" s="54"/>
      <c r="F93" s="54"/>
      <c r="G93" s="66"/>
      <c r="H93" s="53"/>
      <c r="I93" s="53"/>
      <c r="J93" s="53"/>
      <c r="K93" s="53"/>
      <c r="L93" s="53"/>
      <c r="M93" s="53"/>
      <c r="N93" s="53"/>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row>
    <row r="94" spans="1:50" x14ac:dyDescent="0.4">
      <c r="A94" s="478"/>
      <c r="B94" s="394"/>
      <c r="C94" s="21" t="s">
        <v>788</v>
      </c>
      <c r="D94" s="54">
        <v>20.78</v>
      </c>
      <c r="E94" s="54">
        <v>21.59</v>
      </c>
      <c r="F94" s="54">
        <v>23.81</v>
      </c>
      <c r="G94" s="70">
        <v>26.889275452751299</v>
      </c>
      <c r="H94" s="53"/>
      <c r="I94" s="53"/>
      <c r="J94" s="53"/>
      <c r="K94" s="53"/>
      <c r="L94" s="53"/>
      <c r="M94" s="53"/>
      <c r="N94" s="53"/>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row>
    <row r="95" spans="1:50" x14ac:dyDescent="0.4">
      <c r="A95" s="478"/>
      <c r="B95" s="394"/>
      <c r="C95" s="21" t="s">
        <v>789</v>
      </c>
      <c r="D95" s="54">
        <v>6.61</v>
      </c>
      <c r="E95" s="54">
        <v>5.55</v>
      </c>
      <c r="F95" s="54">
        <v>10.59</v>
      </c>
      <c r="G95" s="70">
        <v>11.564248682911799</v>
      </c>
      <c r="H95" s="53"/>
      <c r="I95" s="53"/>
      <c r="J95" s="53"/>
      <c r="K95" s="53"/>
      <c r="L95" s="53"/>
      <c r="M95" s="53"/>
      <c r="N95" s="53"/>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row>
    <row r="96" spans="1:50" ht="26.5" x14ac:dyDescent="0.4">
      <c r="A96" s="478"/>
      <c r="B96" s="394"/>
      <c r="C96" s="21" t="s">
        <v>787</v>
      </c>
      <c r="D96" s="54">
        <v>20.91</v>
      </c>
      <c r="E96" s="54">
        <v>24.11</v>
      </c>
      <c r="F96" s="54">
        <v>26.48</v>
      </c>
      <c r="G96" s="70">
        <v>28.763051596677101</v>
      </c>
      <c r="H96" s="53"/>
      <c r="I96" s="53"/>
      <c r="J96" s="53"/>
      <c r="K96" s="53"/>
      <c r="L96" s="53"/>
      <c r="M96" s="53"/>
      <c r="N96" s="53"/>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row>
    <row r="97" spans="1:50" x14ac:dyDescent="0.4">
      <c r="A97" s="478"/>
      <c r="B97" s="394"/>
      <c r="C97" s="3" t="s">
        <v>74</v>
      </c>
      <c r="D97" s="127">
        <f t="shared" ref="D97" si="5">AVERAGE(D94:D96)</f>
        <v>16.099999999999998</v>
      </c>
      <c r="E97" s="127">
        <f t="shared" ref="E97" si="6">AVERAGE(E94:E96)</f>
        <v>17.083333333333332</v>
      </c>
      <c r="F97" s="127">
        <f t="shared" ref="F97" si="7">AVERAGE(F94:F96)</f>
        <v>20.293333333333333</v>
      </c>
      <c r="G97" s="130">
        <f t="shared" ref="G97" si="8">AVERAGE(G94:G96)</f>
        <v>22.405525244113402</v>
      </c>
      <c r="H97" s="53"/>
      <c r="I97" s="53"/>
      <c r="J97" s="53"/>
      <c r="K97" s="57"/>
      <c r="L97" s="53"/>
      <c r="M97" s="53"/>
      <c r="N97" s="53"/>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row>
    <row r="98" spans="1:50" ht="26.5" x14ac:dyDescent="0.35">
      <c r="A98" s="478"/>
      <c r="B98" s="394" t="s">
        <v>77</v>
      </c>
      <c r="C98" s="3" t="s">
        <v>786</v>
      </c>
      <c r="D98" s="65"/>
      <c r="E98" s="77">
        <f>763.87/47</f>
        <v>16.252553191489362</v>
      </c>
      <c r="F98" s="77">
        <f>965.59/47</f>
        <v>20.544468085106384</v>
      </c>
      <c r="G98" s="66"/>
      <c r="H98" s="53"/>
      <c r="I98" s="53"/>
      <c r="J98" s="53"/>
      <c r="K98" s="53"/>
      <c r="L98" s="53"/>
      <c r="M98" s="53"/>
      <c r="N98" s="53"/>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row>
    <row r="99" spans="1:50" x14ac:dyDescent="0.4">
      <c r="A99" s="478"/>
      <c r="B99" s="394"/>
      <c r="C99" s="3" t="s">
        <v>73</v>
      </c>
      <c r="D99" s="54"/>
      <c r="E99" s="54"/>
      <c r="F99" s="54"/>
      <c r="G99" s="66"/>
      <c r="H99" s="53"/>
      <c r="I99" s="53"/>
      <c r="J99" s="53"/>
      <c r="K99" s="53"/>
      <c r="L99" s="53"/>
      <c r="M99" s="53"/>
      <c r="N99" s="53"/>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row>
    <row r="100" spans="1:50" x14ac:dyDescent="0.4">
      <c r="A100" s="478"/>
      <c r="B100" s="411"/>
      <c r="C100" s="21" t="s">
        <v>788</v>
      </c>
      <c r="D100" s="54">
        <v>11.07</v>
      </c>
      <c r="E100" s="54">
        <v>123.92</v>
      </c>
      <c r="F100" s="54">
        <v>149.38999999999999</v>
      </c>
      <c r="G100" s="70">
        <v>17.35089248496941</v>
      </c>
      <c r="H100" s="53"/>
      <c r="I100" s="53"/>
      <c r="J100" s="53"/>
      <c r="K100" s="53"/>
      <c r="L100" s="53"/>
      <c r="M100" s="53"/>
      <c r="N100" s="53"/>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row>
    <row r="101" spans="1:50" x14ac:dyDescent="0.4">
      <c r="A101" s="478"/>
      <c r="B101" s="411"/>
      <c r="C101" s="21" t="s">
        <v>789</v>
      </c>
      <c r="D101" s="54">
        <v>18.62</v>
      </c>
      <c r="E101" s="54">
        <v>19.71</v>
      </c>
      <c r="F101" s="54">
        <v>22.04</v>
      </c>
      <c r="G101" s="70">
        <v>49.576651001092067</v>
      </c>
      <c r="H101" s="53"/>
      <c r="I101" s="53"/>
      <c r="J101" s="53"/>
      <c r="K101" s="53"/>
      <c r="L101" s="53"/>
      <c r="M101" s="53"/>
      <c r="N101" s="53"/>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row>
    <row r="102" spans="1:50" ht="26.5" x14ac:dyDescent="0.4">
      <c r="A102" s="478"/>
      <c r="B102" s="411"/>
      <c r="C102" s="21" t="s">
        <v>787</v>
      </c>
      <c r="D102" s="54">
        <v>86.32</v>
      </c>
      <c r="E102" s="54">
        <v>68.680000000000007</v>
      </c>
      <c r="F102" s="54">
        <v>80.81</v>
      </c>
      <c r="G102" s="70">
        <v>15.171256131844398</v>
      </c>
      <c r="H102" s="53"/>
      <c r="I102" s="53"/>
      <c r="J102" s="53"/>
      <c r="K102" s="53"/>
      <c r="L102" s="53"/>
      <c r="M102" s="53"/>
      <c r="N102" s="53"/>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row>
    <row r="103" spans="1:50" x14ac:dyDescent="0.4">
      <c r="A103" s="478"/>
      <c r="B103" s="411"/>
      <c r="C103" s="3" t="s">
        <v>74</v>
      </c>
      <c r="D103" s="127">
        <f t="shared" ref="D103" si="9">AVERAGE(D100:D102)</f>
        <v>38.669999999999995</v>
      </c>
      <c r="E103" s="127">
        <f t="shared" ref="E103" si="10">AVERAGE(E100:E102)</f>
        <v>70.77</v>
      </c>
      <c r="F103" s="127">
        <f t="shared" ref="F103" si="11">AVERAGE(F100:F102)</f>
        <v>84.08</v>
      </c>
      <c r="G103" s="130">
        <f t="shared" ref="G103" si="12">AVERAGE(G100:G102)</f>
        <v>27.366266539301961</v>
      </c>
      <c r="H103" s="53"/>
      <c r="I103" s="53"/>
      <c r="J103" s="53"/>
      <c r="K103" s="53"/>
      <c r="L103" s="53"/>
      <c r="M103" s="53"/>
      <c r="N103" s="53"/>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row>
    <row r="104" spans="1:50" s="184" customFormat="1" x14ac:dyDescent="0.4">
      <c r="A104" s="478"/>
      <c r="B104" s="412"/>
      <c r="C104" s="413"/>
      <c r="D104" s="413"/>
      <c r="E104" s="413"/>
      <c r="F104" s="413"/>
      <c r="G104" s="41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4">
      <c r="A105" s="478"/>
      <c r="B105" s="415" t="s">
        <v>785</v>
      </c>
      <c r="C105" s="416"/>
      <c r="D105" s="416"/>
      <c r="E105" s="416"/>
      <c r="F105" s="416"/>
      <c r="G105" s="417"/>
      <c r="H105" s="53"/>
      <c r="I105" s="53"/>
      <c r="J105" s="53"/>
      <c r="K105" s="53"/>
      <c r="L105" s="53"/>
      <c r="M105" s="53"/>
      <c r="N105" s="53"/>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row>
    <row r="106" spans="1:50" x14ac:dyDescent="0.4">
      <c r="A106" s="478"/>
      <c r="B106" s="418" t="s">
        <v>85</v>
      </c>
      <c r="C106" s="419"/>
      <c r="D106" s="419"/>
      <c r="E106" s="419"/>
      <c r="F106" s="419"/>
      <c r="G106" s="420"/>
      <c r="H106" s="53"/>
      <c r="I106" s="53"/>
      <c r="J106" s="53"/>
      <c r="K106" s="53"/>
      <c r="L106" s="53"/>
      <c r="M106" s="53"/>
      <c r="N106" s="53"/>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row>
    <row r="107" spans="1:50" x14ac:dyDescent="0.4">
      <c r="A107" s="478"/>
      <c r="B107" s="363"/>
      <c r="C107" s="368"/>
      <c r="D107" s="368"/>
      <c r="E107" s="368"/>
      <c r="F107" s="368"/>
      <c r="G107" s="369"/>
      <c r="H107" s="53"/>
      <c r="I107" s="53"/>
      <c r="J107" s="53"/>
      <c r="K107" s="53"/>
      <c r="L107" s="53"/>
      <c r="M107" s="53"/>
      <c r="N107" s="53"/>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row>
    <row r="108" spans="1:50" x14ac:dyDescent="0.4">
      <c r="A108" s="8"/>
      <c r="B108" s="8"/>
      <c r="C108" s="407"/>
      <c r="D108" s="407"/>
      <c r="E108" s="407"/>
      <c r="F108" s="407"/>
      <c r="G108" s="407"/>
      <c r="H108" s="53"/>
      <c r="I108" s="53"/>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row>
    <row r="109" spans="1:50" x14ac:dyDescent="0.4">
      <c r="A109" s="18">
        <v>14</v>
      </c>
      <c r="B109" s="61" t="s">
        <v>78</v>
      </c>
      <c r="C109" s="356" t="s">
        <v>41</v>
      </c>
      <c r="D109" s="357"/>
      <c r="E109" s="357"/>
      <c r="F109" s="357"/>
      <c r="G109" s="40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row>
    <row r="110" spans="1:50" x14ac:dyDescent="0.4">
      <c r="A110" s="23"/>
      <c r="B110" s="8"/>
      <c r="C110" s="69"/>
      <c r="D110" s="69"/>
      <c r="E110" s="69"/>
      <c r="F110" s="69"/>
      <c r="G110" s="69"/>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row>
    <row r="111" spans="1:50" x14ac:dyDescent="0.4">
      <c r="A111" s="8"/>
      <c r="B111" s="8"/>
      <c r="C111" s="69"/>
      <c r="D111" s="69"/>
      <c r="E111" s="69"/>
      <c r="F111" s="69"/>
      <c r="G111" s="69"/>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row>
    <row r="112" spans="1:50" x14ac:dyDescent="0.4">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row>
    <row r="113" spans="1:50" x14ac:dyDescent="0.4">
      <c r="A113" s="8"/>
      <c r="B113" s="409" t="s">
        <v>759</v>
      </c>
      <c r="C113" s="410"/>
      <c r="D113" s="410"/>
      <c r="E113" s="410"/>
      <c r="F113" s="410"/>
      <c r="G113" s="410"/>
      <c r="H113" s="410"/>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row>
    <row r="114" spans="1:50" x14ac:dyDescent="0.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row>
    <row r="115" spans="1:50" x14ac:dyDescent="0.4">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row>
    <row r="116" spans="1:50" x14ac:dyDescent="0.4">
      <c r="A116" s="8"/>
      <c r="B116" s="8"/>
      <c r="C116" s="8"/>
      <c r="D116" s="230"/>
      <c r="E116" s="230"/>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row>
    <row r="117" spans="1:50" x14ac:dyDescent="0.4">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row>
    <row r="118" spans="1:50" x14ac:dyDescent="0.4">
      <c r="A118" s="8"/>
      <c r="B118" s="8"/>
      <c r="C118" s="8"/>
      <c r="D118" s="107"/>
      <c r="E118" s="107"/>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row>
    <row r="119" spans="1:50" x14ac:dyDescent="0.4">
      <c r="A119" s="8"/>
      <c r="B119" s="8"/>
      <c r="C119" s="8"/>
      <c r="D119" s="8"/>
      <c r="E119" s="107"/>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row>
    <row r="120" spans="1:50" x14ac:dyDescent="0.4">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row>
    <row r="121" spans="1:50" x14ac:dyDescent="0.4">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row>
    <row r="122" spans="1:50" x14ac:dyDescent="0.4">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row>
    <row r="123" spans="1:50" x14ac:dyDescent="0.4">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row>
    <row r="124" spans="1:50" x14ac:dyDescent="0.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row>
    <row r="125" spans="1:50" x14ac:dyDescent="0.4">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row>
    <row r="126" spans="1:50" x14ac:dyDescent="0.4">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row>
    <row r="127" spans="1:50" x14ac:dyDescent="0.4">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row>
    <row r="128" spans="1:50" x14ac:dyDescent="0.4">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row>
    <row r="129" spans="1:50" x14ac:dyDescent="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row>
    <row r="130" spans="1:50" x14ac:dyDescent="0.4">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row>
    <row r="131" spans="1:50" x14ac:dyDescent="0.4">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row>
    <row r="132" spans="1:50" x14ac:dyDescent="0.4">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row>
    <row r="133" spans="1:50" x14ac:dyDescent="0.4">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row>
    <row r="134" spans="1:50" x14ac:dyDescent="0.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row>
    <row r="135" spans="1:50" x14ac:dyDescent="0.4">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row>
    <row r="136" spans="1:50" x14ac:dyDescent="0.4">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row>
    <row r="137" spans="1:50" x14ac:dyDescent="0.4">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row>
    <row r="138" spans="1:50" x14ac:dyDescent="0.4">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x14ac:dyDescent="0.4">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x14ac:dyDescent="0.4">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row>
    <row r="141" spans="1:50" x14ac:dyDescent="0.4">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row>
    <row r="142" spans="1:50" x14ac:dyDescent="0.4">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row>
    <row r="143" spans="1:50" x14ac:dyDescent="0.4">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row>
    <row r="144" spans="1:50" x14ac:dyDescent="0.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row>
    <row r="145" spans="1:50" x14ac:dyDescent="0.4">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row>
    <row r="146" spans="1:50" x14ac:dyDescent="0.4">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row>
    <row r="147" spans="1:50" x14ac:dyDescent="0.4">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row>
    <row r="148" spans="1:50" x14ac:dyDescent="0.4">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row>
    <row r="149" spans="1:50" x14ac:dyDescent="0.4">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row>
    <row r="150" spans="1:50" x14ac:dyDescent="0.4">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row>
    <row r="151" spans="1:50" x14ac:dyDescent="0.4">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row>
    <row r="152" spans="1:50" x14ac:dyDescent="0.4">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row>
    <row r="153" spans="1:50" x14ac:dyDescent="0.4">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row>
    <row r="154" spans="1:50" x14ac:dyDescent="0.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row>
    <row r="155" spans="1:50" x14ac:dyDescent="0.4">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row>
    <row r="156" spans="1:50" x14ac:dyDescent="0.4">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row>
    <row r="157" spans="1:50" x14ac:dyDescent="0.4">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row>
    <row r="158" spans="1:50"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row>
    <row r="159" spans="1:50" x14ac:dyDescent="0.4">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row>
    <row r="160" spans="1:50" x14ac:dyDescent="0.4">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row>
    <row r="161" spans="1:50" x14ac:dyDescent="0.4">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row>
    <row r="162" spans="1:50" x14ac:dyDescent="0.4">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row>
    <row r="163" spans="1:50" x14ac:dyDescent="0.4">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row>
    <row r="164" spans="1:50" x14ac:dyDescent="0.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row>
    <row r="165" spans="1:50" x14ac:dyDescent="0.4">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row>
    <row r="166" spans="1:50" x14ac:dyDescent="0.4">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row>
    <row r="167" spans="1:50" x14ac:dyDescent="0.4">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row>
    <row r="168" spans="1:50" x14ac:dyDescent="0.4">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row>
    <row r="169" spans="1:50" x14ac:dyDescent="0.4">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row>
    <row r="170" spans="1:50" x14ac:dyDescent="0.4">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row>
    <row r="171" spans="1:50" x14ac:dyDescent="0.4">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row>
    <row r="172" spans="1:50" x14ac:dyDescent="0.4">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row>
    <row r="173" spans="1:50" x14ac:dyDescent="0.4">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row>
    <row r="174" spans="1:50" x14ac:dyDescent="0.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row>
    <row r="175" spans="1:50" x14ac:dyDescent="0.4">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row>
    <row r="176" spans="1:50" x14ac:dyDescent="0.4">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row>
    <row r="177" spans="1:50" x14ac:dyDescent="0.4">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row>
    <row r="178" spans="1:50" x14ac:dyDescent="0.4">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row>
    <row r="179" spans="1:50" x14ac:dyDescent="0.4">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row>
    <row r="180" spans="1:50" x14ac:dyDescent="0.4">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row>
    <row r="181" spans="1:50" x14ac:dyDescent="0.4">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row>
    <row r="182" spans="1:50" x14ac:dyDescent="0.4">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row>
    <row r="183" spans="1:50" x14ac:dyDescent="0.4">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row>
    <row r="184" spans="1:50" x14ac:dyDescent="0.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row>
    <row r="185" spans="1:50" x14ac:dyDescent="0.4">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row>
    <row r="186" spans="1:50" x14ac:dyDescent="0.4">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row>
    <row r="187" spans="1:50" x14ac:dyDescent="0.4">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row>
    <row r="188" spans="1:50" x14ac:dyDescent="0.4">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row>
    <row r="189" spans="1:50" x14ac:dyDescent="0.4">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row>
    <row r="190" spans="1:50" x14ac:dyDescent="0.4">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row>
    <row r="191" spans="1:50" x14ac:dyDescent="0.4">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row>
    <row r="192" spans="1:50" x14ac:dyDescent="0.4">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row>
    <row r="193" spans="2:14" x14ac:dyDescent="0.4">
      <c r="B193" s="8"/>
      <c r="C193" s="8"/>
      <c r="D193" s="8"/>
      <c r="E193" s="8"/>
      <c r="F193" s="8"/>
      <c r="G193" s="8"/>
      <c r="H193" s="8"/>
      <c r="I193" s="8"/>
      <c r="J193" s="8"/>
      <c r="K193" s="8"/>
      <c r="L193" s="8"/>
      <c r="M193" s="8"/>
      <c r="N193" s="8"/>
    </row>
    <row r="194" spans="2:14" x14ac:dyDescent="0.4">
      <c r="B194" s="8"/>
      <c r="C194" s="8"/>
      <c r="D194" s="8"/>
      <c r="E194" s="8"/>
      <c r="F194" s="8"/>
      <c r="G194" s="8"/>
      <c r="H194" s="8"/>
      <c r="I194" s="8"/>
      <c r="J194" s="8"/>
      <c r="K194" s="8"/>
      <c r="L194" s="8"/>
      <c r="M194" s="8"/>
      <c r="N194" s="8"/>
    </row>
    <row r="195" spans="2:14" x14ac:dyDescent="0.4">
      <c r="B195" s="8"/>
      <c r="C195" s="8"/>
      <c r="D195" s="8"/>
      <c r="E195" s="8"/>
      <c r="F195" s="8"/>
      <c r="G195" s="8"/>
      <c r="H195" s="8"/>
      <c r="I195" s="8"/>
      <c r="J195" s="8"/>
      <c r="K195" s="8"/>
      <c r="L195" s="8"/>
      <c r="M195" s="8"/>
      <c r="N195" s="8"/>
    </row>
    <row r="196" spans="2:14" x14ac:dyDescent="0.4">
      <c r="B196" s="8"/>
      <c r="C196" s="8"/>
      <c r="D196" s="8"/>
      <c r="E196" s="8"/>
      <c r="F196" s="8"/>
      <c r="G196" s="8"/>
      <c r="H196" s="8"/>
      <c r="I196" s="8"/>
      <c r="J196" s="8"/>
      <c r="K196" s="8"/>
      <c r="L196" s="8"/>
      <c r="M196" s="8"/>
      <c r="N196" s="8"/>
    </row>
    <row r="197" spans="2:14" x14ac:dyDescent="0.4">
      <c r="B197" s="8"/>
      <c r="C197" s="8"/>
      <c r="D197" s="8"/>
      <c r="E197" s="8"/>
      <c r="F197" s="8"/>
      <c r="G197" s="8"/>
      <c r="H197" s="8"/>
      <c r="I197" s="8"/>
      <c r="J197" s="8"/>
      <c r="K197" s="8"/>
      <c r="L197" s="8"/>
      <c r="M197" s="8"/>
      <c r="N197" s="8"/>
    </row>
    <row r="198" spans="2:14" x14ac:dyDescent="0.4">
      <c r="B198" s="8"/>
      <c r="C198" s="8"/>
      <c r="D198" s="8"/>
      <c r="E198" s="8"/>
      <c r="F198" s="8"/>
      <c r="G198" s="8"/>
      <c r="H198" s="8"/>
      <c r="I198" s="8"/>
      <c r="J198" s="8"/>
      <c r="K198" s="8"/>
      <c r="L198" s="8"/>
      <c r="M198" s="8"/>
      <c r="N198" s="8"/>
    </row>
    <row r="199" spans="2:14" x14ac:dyDescent="0.4">
      <c r="B199" s="8"/>
      <c r="C199" s="8"/>
      <c r="D199" s="8"/>
      <c r="E199" s="8"/>
      <c r="F199" s="8"/>
      <c r="G199" s="8"/>
      <c r="H199" s="8"/>
      <c r="I199" s="8"/>
      <c r="J199" s="8"/>
      <c r="K199" s="8"/>
      <c r="L199" s="8"/>
      <c r="M199" s="8"/>
      <c r="N199" s="8"/>
    </row>
    <row r="200" spans="2:14" x14ac:dyDescent="0.4">
      <c r="B200" s="8"/>
      <c r="C200" s="8"/>
      <c r="D200" s="8"/>
      <c r="E200" s="8"/>
      <c r="F200" s="8"/>
      <c r="G200" s="8"/>
      <c r="H200" s="8"/>
      <c r="I200" s="8"/>
      <c r="J200" s="8"/>
      <c r="K200" s="8"/>
      <c r="L200" s="8"/>
      <c r="M200" s="8"/>
      <c r="N200" s="8"/>
    </row>
    <row r="201" spans="2:14" x14ac:dyDescent="0.4">
      <c r="B201" s="8"/>
      <c r="C201" s="8"/>
      <c r="D201" s="8"/>
      <c r="E201" s="8"/>
      <c r="F201" s="8"/>
      <c r="G201" s="8"/>
      <c r="H201" s="8"/>
      <c r="I201" s="8"/>
      <c r="J201" s="8"/>
      <c r="K201" s="8"/>
      <c r="L201" s="8"/>
      <c r="M201" s="8"/>
      <c r="N201" s="8"/>
    </row>
    <row r="202" spans="2:14" x14ac:dyDescent="0.4">
      <c r="B202" s="8"/>
      <c r="C202" s="8"/>
      <c r="D202" s="8"/>
      <c r="E202" s="8"/>
      <c r="F202" s="8"/>
      <c r="G202" s="8"/>
      <c r="H202" s="8"/>
      <c r="I202" s="8"/>
      <c r="J202" s="8"/>
      <c r="K202" s="8"/>
      <c r="L202" s="8"/>
      <c r="M202" s="8"/>
      <c r="N202" s="8"/>
    </row>
    <row r="203" spans="2:14" x14ac:dyDescent="0.4">
      <c r="B203" s="8"/>
      <c r="C203" s="8"/>
      <c r="D203" s="8"/>
      <c r="E203" s="8"/>
      <c r="F203" s="8"/>
      <c r="G203" s="8"/>
      <c r="H203" s="8"/>
      <c r="I203" s="8"/>
      <c r="J203" s="8"/>
      <c r="K203" s="8"/>
      <c r="L203" s="8"/>
      <c r="M203" s="8"/>
      <c r="N203" s="8"/>
    </row>
    <row r="204" spans="2:14" x14ac:dyDescent="0.4">
      <c r="B204" s="8"/>
      <c r="C204" s="8"/>
      <c r="D204" s="8"/>
      <c r="E204" s="8"/>
      <c r="F204" s="8"/>
      <c r="G204" s="8"/>
      <c r="H204" s="8"/>
      <c r="I204" s="8"/>
      <c r="J204" s="8"/>
      <c r="K204" s="8"/>
      <c r="L204" s="8"/>
      <c r="M204" s="8"/>
      <c r="N204" s="8"/>
    </row>
    <row r="205" spans="2:14" x14ac:dyDescent="0.4">
      <c r="B205" s="8"/>
      <c r="C205" s="8"/>
      <c r="D205" s="8"/>
      <c r="E205" s="8"/>
      <c r="F205" s="8"/>
      <c r="G205" s="8"/>
      <c r="H205" s="8"/>
      <c r="I205" s="8"/>
      <c r="J205" s="8"/>
      <c r="K205" s="8"/>
      <c r="L205" s="8"/>
      <c r="M205" s="8"/>
      <c r="N205" s="8"/>
    </row>
    <row r="206" spans="2:14" x14ac:dyDescent="0.4">
      <c r="B206" s="8"/>
      <c r="C206" s="8"/>
      <c r="D206" s="8"/>
      <c r="E206" s="8"/>
      <c r="F206" s="8"/>
      <c r="G206" s="8"/>
      <c r="H206" s="8"/>
      <c r="I206" s="8"/>
      <c r="J206" s="8"/>
      <c r="K206" s="8"/>
      <c r="L206" s="8"/>
      <c r="M206" s="8"/>
      <c r="N206" s="8"/>
    </row>
    <row r="207" spans="2:14" x14ac:dyDescent="0.4">
      <c r="B207" s="8"/>
      <c r="C207" s="8"/>
      <c r="D207" s="8"/>
      <c r="E207" s="8"/>
      <c r="F207" s="8"/>
      <c r="G207" s="8"/>
      <c r="H207" s="8"/>
      <c r="I207" s="8"/>
      <c r="J207" s="8"/>
      <c r="K207" s="8"/>
      <c r="L207" s="8"/>
      <c r="M207" s="8"/>
      <c r="N207" s="8"/>
    </row>
    <row r="208" spans="2:14" x14ac:dyDescent="0.4">
      <c r="B208" s="8"/>
      <c r="C208" s="8"/>
      <c r="D208" s="8"/>
      <c r="E208" s="8"/>
      <c r="F208" s="8"/>
      <c r="G208" s="8"/>
      <c r="H208" s="8"/>
      <c r="I208" s="8"/>
      <c r="J208" s="8"/>
      <c r="K208" s="8"/>
      <c r="L208" s="8"/>
      <c r="M208" s="8"/>
      <c r="N208" s="8"/>
    </row>
    <row r="209" spans="2:14" x14ac:dyDescent="0.4">
      <c r="B209" s="8"/>
      <c r="C209" s="8"/>
      <c r="D209" s="8"/>
      <c r="E209" s="8"/>
      <c r="F209" s="8"/>
      <c r="G209" s="8"/>
      <c r="H209" s="8"/>
      <c r="I209" s="8"/>
      <c r="J209" s="8"/>
      <c r="K209" s="8"/>
      <c r="L209" s="8"/>
      <c r="M209" s="8"/>
      <c r="N209" s="8"/>
    </row>
    <row r="210" spans="2:14" x14ac:dyDescent="0.4">
      <c r="B210" s="8"/>
      <c r="C210" s="8"/>
      <c r="D210" s="8"/>
      <c r="E210" s="8"/>
      <c r="F210" s="8"/>
      <c r="G210" s="8"/>
      <c r="H210" s="8"/>
      <c r="I210" s="8"/>
      <c r="J210" s="8"/>
      <c r="K210" s="8"/>
      <c r="L210" s="8"/>
      <c r="M210" s="8"/>
      <c r="N210" s="8"/>
    </row>
    <row r="211" spans="2:14" x14ac:dyDescent="0.4">
      <c r="B211" s="8"/>
      <c r="C211" s="8"/>
      <c r="D211" s="8"/>
      <c r="E211" s="8"/>
      <c r="F211" s="8"/>
      <c r="G211" s="8"/>
      <c r="H211" s="8"/>
      <c r="I211" s="8"/>
      <c r="J211" s="8"/>
      <c r="K211" s="8"/>
      <c r="L211" s="8"/>
      <c r="M211" s="8"/>
      <c r="N211" s="8"/>
    </row>
    <row r="212" spans="2:14" x14ac:dyDescent="0.4">
      <c r="B212" s="8"/>
      <c r="C212" s="8"/>
      <c r="D212" s="8"/>
      <c r="E212" s="8"/>
      <c r="F212" s="8"/>
      <c r="G212" s="8"/>
      <c r="H212" s="8"/>
      <c r="I212" s="8"/>
      <c r="J212" s="8"/>
      <c r="K212" s="8"/>
      <c r="L212" s="8"/>
      <c r="M212" s="8"/>
      <c r="N212" s="8"/>
    </row>
    <row r="213" spans="2:14" x14ac:dyDescent="0.4">
      <c r="B213" s="8"/>
      <c r="C213" s="8"/>
      <c r="D213" s="8"/>
      <c r="E213" s="8"/>
      <c r="F213" s="8"/>
      <c r="G213" s="8"/>
      <c r="H213" s="8"/>
      <c r="I213" s="8"/>
      <c r="J213" s="8"/>
      <c r="K213" s="8"/>
      <c r="L213" s="8"/>
      <c r="M213" s="8"/>
      <c r="N213" s="8"/>
    </row>
    <row r="214" spans="2:14" x14ac:dyDescent="0.4">
      <c r="B214" s="8"/>
      <c r="C214" s="8"/>
      <c r="D214" s="8"/>
      <c r="E214" s="8"/>
      <c r="F214" s="8"/>
      <c r="G214" s="8"/>
      <c r="H214" s="8"/>
      <c r="I214" s="8"/>
      <c r="J214" s="8"/>
      <c r="K214" s="8"/>
      <c r="L214" s="8"/>
      <c r="M214" s="8"/>
      <c r="N214" s="8"/>
    </row>
    <row r="215" spans="2:14" x14ac:dyDescent="0.4">
      <c r="B215" s="8"/>
      <c r="C215" s="8"/>
      <c r="D215" s="8"/>
      <c r="E215" s="8"/>
      <c r="F215" s="8"/>
      <c r="G215" s="8"/>
      <c r="H215" s="8"/>
      <c r="I215" s="8"/>
      <c r="J215" s="8"/>
      <c r="K215" s="8"/>
      <c r="L215" s="8"/>
      <c r="M215" s="8"/>
      <c r="N215" s="8"/>
    </row>
    <row r="216" spans="2:14" x14ac:dyDescent="0.4">
      <c r="B216" s="8"/>
      <c r="C216" s="8"/>
      <c r="D216" s="8"/>
      <c r="E216" s="8"/>
      <c r="F216" s="8"/>
      <c r="G216" s="8"/>
      <c r="H216" s="8"/>
      <c r="I216" s="8"/>
      <c r="J216" s="8"/>
      <c r="K216" s="8"/>
      <c r="L216" s="8"/>
      <c r="M216" s="8"/>
      <c r="N216" s="8"/>
    </row>
    <row r="217" spans="2:14" x14ac:dyDescent="0.4">
      <c r="B217" s="8"/>
      <c r="C217" s="8"/>
      <c r="D217" s="8"/>
      <c r="E217" s="8"/>
      <c r="F217" s="8"/>
      <c r="G217" s="8"/>
      <c r="H217" s="8"/>
      <c r="I217" s="8"/>
      <c r="J217" s="8"/>
      <c r="K217" s="8"/>
      <c r="L217" s="8"/>
      <c r="M217" s="8"/>
      <c r="N217" s="8"/>
    </row>
    <row r="218" spans="2:14" x14ac:dyDescent="0.4">
      <c r="B218" s="8"/>
      <c r="C218" s="8"/>
      <c r="D218" s="8"/>
      <c r="E218" s="8"/>
      <c r="F218" s="8"/>
      <c r="G218" s="8"/>
      <c r="H218" s="8"/>
      <c r="I218" s="8"/>
      <c r="J218" s="8"/>
      <c r="K218" s="8"/>
      <c r="L218" s="8"/>
      <c r="M218" s="8"/>
      <c r="N218" s="8"/>
    </row>
    <row r="219" spans="2:14" x14ac:dyDescent="0.4">
      <c r="B219" s="8"/>
      <c r="C219" s="8"/>
      <c r="D219" s="8"/>
      <c r="E219" s="8"/>
      <c r="F219" s="8"/>
      <c r="G219" s="8"/>
      <c r="H219" s="8"/>
      <c r="I219" s="8"/>
      <c r="J219" s="8"/>
      <c r="K219" s="8"/>
      <c r="L219" s="8"/>
      <c r="M219" s="8"/>
      <c r="N219" s="8"/>
    </row>
    <row r="220" spans="2:14" x14ac:dyDescent="0.4">
      <c r="B220" s="8"/>
      <c r="C220" s="8"/>
      <c r="D220" s="8"/>
      <c r="E220" s="8"/>
      <c r="F220" s="8"/>
      <c r="G220" s="8"/>
      <c r="H220" s="8"/>
      <c r="I220" s="8"/>
      <c r="J220" s="8"/>
      <c r="K220" s="8"/>
      <c r="L220" s="8"/>
      <c r="M220" s="8"/>
      <c r="N220" s="8"/>
    </row>
    <row r="221" spans="2:14" x14ac:dyDescent="0.4">
      <c r="B221" s="8"/>
      <c r="C221" s="8"/>
      <c r="D221" s="8"/>
      <c r="E221" s="8"/>
      <c r="F221" s="8"/>
      <c r="G221" s="8"/>
      <c r="H221" s="8"/>
      <c r="I221" s="8"/>
      <c r="J221" s="8"/>
      <c r="K221" s="8"/>
      <c r="L221" s="8"/>
      <c r="M221" s="8"/>
      <c r="N221" s="8"/>
    </row>
    <row r="222" spans="2:14" x14ac:dyDescent="0.4">
      <c r="B222" s="8"/>
      <c r="C222" s="8"/>
      <c r="D222" s="8"/>
      <c r="E222" s="8"/>
      <c r="F222" s="8"/>
      <c r="G222" s="8"/>
      <c r="H222" s="8"/>
      <c r="I222" s="8"/>
      <c r="J222" s="8"/>
      <c r="K222" s="8"/>
      <c r="L222" s="8"/>
      <c r="M222" s="8"/>
      <c r="N222" s="8"/>
    </row>
    <row r="223" spans="2:14" x14ac:dyDescent="0.4">
      <c r="B223" s="8"/>
      <c r="C223" s="8"/>
      <c r="D223" s="8"/>
      <c r="E223" s="8"/>
      <c r="F223" s="8"/>
      <c r="G223" s="8"/>
      <c r="H223" s="8"/>
      <c r="I223" s="8"/>
      <c r="J223" s="8"/>
      <c r="K223" s="8"/>
      <c r="L223" s="8"/>
      <c r="M223" s="8"/>
      <c r="N223" s="8"/>
    </row>
    <row r="224" spans="2:14" x14ac:dyDescent="0.4">
      <c r="B224" s="8"/>
      <c r="C224" s="8"/>
      <c r="D224" s="8"/>
      <c r="E224" s="8"/>
      <c r="F224" s="8"/>
      <c r="G224" s="8"/>
      <c r="H224" s="8"/>
      <c r="I224" s="8"/>
      <c r="J224" s="8"/>
      <c r="K224" s="8"/>
      <c r="L224" s="8"/>
      <c r="M224" s="8"/>
      <c r="N224" s="8"/>
    </row>
    <row r="225" spans="2:14" x14ac:dyDescent="0.4">
      <c r="B225" s="8"/>
      <c r="C225" s="8"/>
      <c r="D225" s="8"/>
      <c r="E225" s="8"/>
      <c r="F225" s="8"/>
      <c r="G225" s="8"/>
      <c r="H225" s="8"/>
      <c r="I225" s="8"/>
      <c r="J225" s="8"/>
      <c r="K225" s="8"/>
      <c r="L225" s="8"/>
      <c r="M225" s="8"/>
      <c r="N225" s="8"/>
    </row>
    <row r="226" spans="2:14" x14ac:dyDescent="0.4">
      <c r="B226" s="8"/>
      <c r="C226" s="8"/>
      <c r="D226" s="8"/>
      <c r="E226" s="8"/>
      <c r="F226" s="8"/>
      <c r="G226" s="8"/>
      <c r="H226" s="8"/>
      <c r="I226" s="8"/>
      <c r="J226" s="8"/>
      <c r="K226" s="8"/>
      <c r="L226" s="8"/>
      <c r="M226" s="8"/>
      <c r="N226" s="8"/>
    </row>
    <row r="227" spans="2:14" x14ac:dyDescent="0.4">
      <c r="B227" s="8"/>
      <c r="C227" s="8"/>
      <c r="D227" s="8"/>
      <c r="E227" s="8"/>
      <c r="F227" s="8"/>
      <c r="G227" s="8"/>
      <c r="H227" s="8"/>
      <c r="I227" s="8"/>
      <c r="J227" s="8"/>
      <c r="K227" s="8"/>
      <c r="L227" s="8"/>
      <c r="M227" s="8"/>
      <c r="N227" s="8"/>
    </row>
    <row r="228" spans="2:14" x14ac:dyDescent="0.4">
      <c r="B228" s="8"/>
      <c r="C228" s="8"/>
      <c r="D228" s="8"/>
      <c r="E228" s="8"/>
      <c r="F228" s="8"/>
      <c r="G228" s="8"/>
      <c r="H228" s="8"/>
      <c r="I228" s="8"/>
      <c r="J228" s="8"/>
      <c r="K228" s="8"/>
      <c r="L228" s="8"/>
      <c r="M228" s="8"/>
      <c r="N228" s="8"/>
    </row>
    <row r="229" spans="2:14" x14ac:dyDescent="0.4">
      <c r="B229" s="8"/>
      <c r="C229" s="8"/>
      <c r="D229" s="8"/>
      <c r="E229" s="8"/>
      <c r="F229" s="8"/>
      <c r="G229" s="8"/>
      <c r="H229" s="8"/>
      <c r="I229" s="8"/>
      <c r="J229" s="8"/>
      <c r="K229" s="8"/>
      <c r="L229" s="8"/>
      <c r="M229" s="8"/>
      <c r="N229" s="8"/>
    </row>
    <row r="230" spans="2:14" x14ac:dyDescent="0.4">
      <c r="B230" s="8"/>
      <c r="C230" s="8"/>
      <c r="D230" s="8"/>
      <c r="E230" s="8"/>
      <c r="F230" s="8"/>
      <c r="G230" s="8"/>
      <c r="H230" s="8"/>
      <c r="I230" s="8"/>
      <c r="J230" s="8"/>
      <c r="K230" s="8"/>
      <c r="L230" s="8"/>
      <c r="M230" s="8"/>
      <c r="N230" s="8"/>
    </row>
    <row r="231" spans="2:14" x14ac:dyDescent="0.4">
      <c r="B231" s="8"/>
      <c r="C231" s="8"/>
      <c r="D231" s="8"/>
      <c r="E231" s="8"/>
      <c r="F231" s="8"/>
      <c r="G231" s="8"/>
      <c r="H231" s="8"/>
      <c r="I231" s="8"/>
      <c r="J231" s="8"/>
      <c r="K231" s="8"/>
      <c r="L231" s="8"/>
      <c r="M231" s="8"/>
      <c r="N231" s="8"/>
    </row>
    <row r="232" spans="2:14" x14ac:dyDescent="0.4">
      <c r="B232" s="8"/>
      <c r="C232" s="8"/>
      <c r="D232" s="8"/>
      <c r="E232" s="8"/>
      <c r="F232" s="8"/>
      <c r="G232" s="8"/>
      <c r="H232" s="8"/>
      <c r="I232" s="8"/>
      <c r="J232" s="8"/>
      <c r="K232" s="8"/>
      <c r="L232" s="8"/>
      <c r="M232" s="8"/>
      <c r="N232" s="8"/>
    </row>
    <row r="233" spans="2:14" x14ac:dyDescent="0.4">
      <c r="B233" s="8"/>
      <c r="C233" s="8"/>
      <c r="D233" s="8"/>
      <c r="E233" s="8"/>
      <c r="F233" s="8"/>
      <c r="G233" s="8"/>
      <c r="H233" s="8"/>
      <c r="I233" s="8"/>
      <c r="J233" s="8"/>
      <c r="K233" s="8"/>
      <c r="L233" s="8"/>
      <c r="M233" s="8"/>
      <c r="N233" s="8"/>
    </row>
    <row r="234" spans="2:14" x14ac:dyDescent="0.4">
      <c r="B234" s="8"/>
      <c r="C234" s="8"/>
      <c r="D234" s="8"/>
      <c r="E234" s="8"/>
      <c r="F234" s="8"/>
      <c r="G234" s="8"/>
      <c r="H234" s="8"/>
      <c r="I234" s="8"/>
      <c r="J234" s="8"/>
      <c r="K234" s="8"/>
      <c r="L234" s="8"/>
      <c r="M234" s="8"/>
      <c r="N234" s="8"/>
    </row>
    <row r="235" spans="2:14" x14ac:dyDescent="0.4">
      <c r="B235" s="8"/>
      <c r="C235" s="8"/>
      <c r="D235" s="8"/>
      <c r="E235" s="8"/>
      <c r="F235" s="8"/>
      <c r="G235" s="8"/>
      <c r="H235" s="8"/>
      <c r="I235" s="8"/>
      <c r="J235" s="8"/>
      <c r="K235" s="8"/>
      <c r="L235" s="8"/>
      <c r="M235" s="8"/>
      <c r="N235" s="8"/>
    </row>
    <row r="236" spans="2:14" x14ac:dyDescent="0.4">
      <c r="B236" s="8"/>
      <c r="C236" s="8"/>
      <c r="D236" s="8"/>
      <c r="E236" s="8"/>
      <c r="F236" s="8"/>
      <c r="G236" s="8"/>
      <c r="H236" s="8"/>
      <c r="I236" s="8"/>
      <c r="J236" s="8"/>
      <c r="K236" s="8"/>
      <c r="L236" s="8"/>
      <c r="M236" s="8"/>
      <c r="N236" s="8"/>
    </row>
    <row r="237" spans="2:14" x14ac:dyDescent="0.4">
      <c r="B237" s="8"/>
      <c r="C237" s="8"/>
      <c r="D237" s="8"/>
      <c r="E237" s="8"/>
      <c r="F237" s="8"/>
      <c r="G237" s="8"/>
      <c r="H237" s="8"/>
      <c r="I237" s="8"/>
      <c r="J237" s="8"/>
      <c r="K237" s="8"/>
      <c r="L237" s="8"/>
      <c r="M237" s="8"/>
      <c r="N237" s="8"/>
    </row>
    <row r="238" spans="2:14" x14ac:dyDescent="0.4">
      <c r="B238" s="8"/>
      <c r="C238" s="8"/>
      <c r="D238" s="8"/>
      <c r="E238" s="8"/>
      <c r="F238" s="8"/>
      <c r="G238" s="8"/>
      <c r="H238" s="8"/>
      <c r="I238" s="8"/>
      <c r="J238" s="8"/>
      <c r="K238" s="8"/>
      <c r="L238" s="8"/>
      <c r="M238" s="8"/>
      <c r="N238" s="8"/>
    </row>
    <row r="239" spans="2:14" x14ac:dyDescent="0.4">
      <c r="B239" s="8"/>
      <c r="C239" s="8"/>
      <c r="D239" s="8"/>
      <c r="E239" s="8"/>
      <c r="F239" s="8"/>
      <c r="G239" s="8"/>
      <c r="H239" s="8"/>
      <c r="I239" s="8"/>
      <c r="J239" s="8"/>
      <c r="K239" s="8"/>
      <c r="L239" s="8"/>
      <c r="M239" s="8"/>
      <c r="N239" s="8"/>
    </row>
    <row r="240" spans="2:14" x14ac:dyDescent="0.4">
      <c r="B240" s="8"/>
      <c r="C240" s="8"/>
      <c r="D240" s="8"/>
      <c r="E240" s="8"/>
      <c r="F240" s="8"/>
      <c r="G240" s="8"/>
      <c r="H240" s="8"/>
      <c r="I240" s="8"/>
      <c r="J240" s="8"/>
      <c r="K240" s="8"/>
      <c r="L240" s="8"/>
      <c r="M240" s="8"/>
      <c r="N240" s="8"/>
    </row>
    <row r="241" spans="2:14" x14ac:dyDescent="0.4">
      <c r="B241" s="8"/>
      <c r="C241" s="8"/>
      <c r="D241" s="8"/>
      <c r="E241" s="8"/>
      <c r="F241" s="8"/>
      <c r="G241" s="8"/>
      <c r="H241" s="8"/>
      <c r="I241" s="8"/>
      <c r="J241" s="8"/>
      <c r="K241" s="8"/>
      <c r="L241" s="8"/>
      <c r="M241" s="8"/>
      <c r="N241" s="8"/>
    </row>
    <row r="242" spans="2:14" x14ac:dyDescent="0.4">
      <c r="B242" s="8"/>
      <c r="C242" s="8"/>
      <c r="D242" s="8"/>
      <c r="E242" s="8"/>
      <c r="F242" s="8"/>
      <c r="G242" s="8"/>
      <c r="H242" s="8"/>
      <c r="I242" s="8"/>
      <c r="J242" s="8"/>
      <c r="K242" s="8"/>
      <c r="L242" s="8"/>
      <c r="M242" s="8"/>
      <c r="N242" s="8"/>
    </row>
    <row r="243" spans="2:14" x14ac:dyDescent="0.4">
      <c r="B243" s="8"/>
      <c r="C243" s="8"/>
      <c r="D243" s="8"/>
      <c r="E243" s="8"/>
      <c r="F243" s="8"/>
      <c r="G243" s="8"/>
      <c r="H243" s="8"/>
      <c r="I243" s="8"/>
      <c r="J243" s="8"/>
      <c r="K243" s="8"/>
      <c r="L243" s="8"/>
      <c r="M243" s="8"/>
      <c r="N243" s="8"/>
    </row>
    <row r="244" spans="2:14" x14ac:dyDescent="0.4">
      <c r="B244" s="8"/>
      <c r="C244" s="8"/>
      <c r="D244" s="8"/>
      <c r="E244" s="8"/>
      <c r="F244" s="8"/>
      <c r="G244" s="8"/>
      <c r="H244" s="8"/>
      <c r="I244" s="8"/>
      <c r="J244" s="8"/>
      <c r="K244" s="8"/>
      <c r="L244" s="8"/>
      <c r="M244" s="8"/>
      <c r="N244" s="8"/>
    </row>
    <row r="245" spans="2:14" x14ac:dyDescent="0.4">
      <c r="B245" s="8"/>
      <c r="C245" s="8"/>
      <c r="D245" s="8"/>
      <c r="E245" s="8"/>
      <c r="F245" s="8"/>
      <c r="G245" s="8"/>
      <c r="H245" s="8"/>
      <c r="I245" s="8"/>
      <c r="J245" s="8"/>
      <c r="K245" s="8"/>
      <c r="L245" s="8"/>
      <c r="M245" s="8"/>
      <c r="N245" s="8"/>
    </row>
    <row r="246" spans="2:14" x14ac:dyDescent="0.4">
      <c r="B246" s="8"/>
      <c r="C246" s="8"/>
      <c r="D246" s="8"/>
      <c r="E246" s="8"/>
      <c r="F246" s="8"/>
      <c r="G246" s="8"/>
      <c r="H246" s="8"/>
      <c r="I246" s="8"/>
      <c r="J246" s="8"/>
      <c r="K246" s="8"/>
      <c r="L246" s="8"/>
      <c r="M246" s="8"/>
      <c r="N246" s="8"/>
    </row>
    <row r="247" spans="2:14" x14ac:dyDescent="0.4">
      <c r="B247" s="8"/>
      <c r="C247" s="8"/>
      <c r="D247" s="8"/>
      <c r="E247" s="8"/>
      <c r="F247" s="8"/>
      <c r="G247" s="8"/>
      <c r="H247" s="8"/>
      <c r="I247" s="8"/>
      <c r="J247" s="8"/>
      <c r="K247" s="8"/>
      <c r="L247" s="8"/>
      <c r="M247" s="8"/>
      <c r="N247" s="8"/>
    </row>
    <row r="248" spans="2:14" x14ac:dyDescent="0.4">
      <c r="B248" s="8"/>
      <c r="C248" s="8"/>
      <c r="D248" s="8"/>
      <c r="E248" s="8"/>
      <c r="F248" s="8"/>
      <c r="G248" s="8"/>
      <c r="H248" s="8"/>
      <c r="I248" s="8"/>
      <c r="J248" s="8"/>
      <c r="K248" s="8"/>
      <c r="L248" s="8"/>
      <c r="M248" s="8"/>
      <c r="N248" s="8"/>
    </row>
    <row r="249" spans="2:14" x14ac:dyDescent="0.4">
      <c r="B249" s="8"/>
      <c r="C249" s="8"/>
      <c r="D249" s="8"/>
      <c r="E249" s="8"/>
      <c r="F249" s="8"/>
      <c r="G249" s="8"/>
      <c r="H249" s="8"/>
      <c r="I249" s="8"/>
      <c r="J249" s="8"/>
      <c r="K249" s="8"/>
      <c r="L249" s="8"/>
      <c r="M249" s="8"/>
      <c r="N249" s="8"/>
    </row>
    <row r="250" spans="2:14" x14ac:dyDescent="0.4">
      <c r="B250" s="8"/>
      <c r="C250" s="8"/>
      <c r="D250" s="8"/>
      <c r="E250" s="8"/>
      <c r="F250" s="8"/>
      <c r="G250" s="8"/>
      <c r="H250" s="8"/>
      <c r="I250" s="8"/>
      <c r="J250" s="8"/>
      <c r="K250" s="8"/>
      <c r="L250" s="8"/>
      <c r="M250" s="8"/>
      <c r="N250" s="8"/>
    </row>
    <row r="251" spans="2:14" x14ac:dyDescent="0.4">
      <c r="B251" s="8"/>
      <c r="C251" s="8"/>
      <c r="D251" s="8"/>
      <c r="E251" s="8"/>
      <c r="F251" s="8"/>
      <c r="G251" s="8"/>
      <c r="H251" s="8"/>
      <c r="I251" s="8"/>
      <c r="J251" s="8"/>
      <c r="K251" s="8"/>
      <c r="L251" s="8"/>
      <c r="M251" s="8"/>
      <c r="N251" s="8"/>
    </row>
    <row r="252" spans="2:14" x14ac:dyDescent="0.4">
      <c r="B252" s="8"/>
      <c r="C252" s="8"/>
      <c r="D252" s="8"/>
      <c r="E252" s="8"/>
      <c r="F252" s="8"/>
      <c r="G252" s="8"/>
      <c r="H252" s="8"/>
      <c r="I252" s="8"/>
      <c r="J252" s="8"/>
      <c r="K252" s="8"/>
      <c r="L252" s="8"/>
      <c r="M252" s="8"/>
      <c r="N252" s="8"/>
    </row>
    <row r="253" spans="2:14" x14ac:dyDescent="0.4">
      <c r="B253" s="8"/>
      <c r="C253" s="8"/>
      <c r="D253" s="8"/>
      <c r="E253" s="8"/>
      <c r="F253" s="8"/>
      <c r="G253" s="8"/>
      <c r="H253" s="8"/>
      <c r="I253" s="8"/>
      <c r="J253" s="8"/>
      <c r="K253" s="8"/>
      <c r="L253" s="8"/>
      <c r="M253" s="8"/>
      <c r="N253" s="8"/>
    </row>
    <row r="254" spans="2:14" x14ac:dyDescent="0.4">
      <c r="B254" s="8"/>
      <c r="C254" s="8"/>
      <c r="D254" s="8"/>
      <c r="E254" s="8"/>
      <c r="F254" s="8"/>
      <c r="G254" s="8"/>
      <c r="H254" s="8"/>
      <c r="I254" s="8"/>
      <c r="J254" s="8"/>
      <c r="K254" s="8"/>
      <c r="L254" s="8"/>
      <c r="M254" s="8"/>
      <c r="N254" s="8"/>
    </row>
    <row r="255" spans="2:14" x14ac:dyDescent="0.4">
      <c r="B255" s="8"/>
      <c r="C255" s="8"/>
      <c r="D255" s="8"/>
      <c r="E255" s="8"/>
      <c r="F255" s="8"/>
      <c r="G255" s="8"/>
      <c r="H255" s="8"/>
      <c r="I255" s="8"/>
      <c r="J255" s="8"/>
      <c r="K255" s="8"/>
      <c r="L255" s="8"/>
      <c r="M255" s="8"/>
      <c r="N255" s="8"/>
    </row>
    <row r="256" spans="2:14" x14ac:dyDescent="0.4">
      <c r="B256" s="8"/>
      <c r="C256" s="8"/>
      <c r="D256" s="8"/>
      <c r="E256" s="8"/>
      <c r="F256" s="8"/>
      <c r="G256" s="8"/>
      <c r="H256" s="8"/>
      <c r="I256" s="8"/>
      <c r="J256" s="8"/>
      <c r="K256" s="8"/>
      <c r="L256" s="8"/>
      <c r="M256" s="8"/>
      <c r="N256" s="8"/>
    </row>
    <row r="257" spans="2:14" x14ac:dyDescent="0.4">
      <c r="B257" s="8"/>
      <c r="C257" s="8"/>
      <c r="D257" s="8"/>
      <c r="E257" s="8"/>
      <c r="F257" s="8"/>
      <c r="G257" s="8"/>
      <c r="H257" s="8"/>
      <c r="I257" s="8"/>
      <c r="J257" s="8"/>
      <c r="K257" s="8"/>
      <c r="L257" s="8"/>
      <c r="M257" s="8"/>
      <c r="N257" s="8"/>
    </row>
    <row r="258" spans="2:14" x14ac:dyDescent="0.4">
      <c r="B258" s="8"/>
      <c r="C258" s="8"/>
      <c r="D258" s="8"/>
      <c r="E258" s="8"/>
      <c r="F258" s="8"/>
      <c r="G258" s="8"/>
      <c r="H258" s="8"/>
      <c r="I258" s="8"/>
      <c r="J258" s="8"/>
      <c r="K258" s="8"/>
      <c r="L258" s="8"/>
      <c r="M258" s="8"/>
      <c r="N258" s="8"/>
    </row>
    <row r="259" spans="2:14" x14ac:dyDescent="0.4">
      <c r="B259" s="8"/>
      <c r="C259" s="8"/>
      <c r="D259" s="8"/>
      <c r="E259" s="8"/>
      <c r="F259" s="8"/>
      <c r="G259" s="8"/>
      <c r="H259" s="8"/>
      <c r="I259" s="8"/>
      <c r="J259" s="8"/>
      <c r="K259" s="8"/>
      <c r="L259" s="8"/>
      <c r="M259" s="8"/>
      <c r="N259" s="8"/>
    </row>
    <row r="260" spans="2:14" x14ac:dyDescent="0.4">
      <c r="B260" s="8"/>
      <c r="C260" s="8"/>
      <c r="D260" s="8"/>
      <c r="E260" s="8"/>
      <c r="F260" s="8"/>
      <c r="G260" s="8"/>
      <c r="H260" s="8"/>
      <c r="I260" s="8"/>
      <c r="J260" s="8"/>
      <c r="K260" s="8"/>
      <c r="L260" s="8"/>
      <c r="M260" s="8"/>
      <c r="N260" s="8"/>
    </row>
    <row r="261" spans="2:14" x14ac:dyDescent="0.4">
      <c r="B261" s="8"/>
      <c r="C261" s="8"/>
      <c r="D261" s="8"/>
      <c r="E261" s="8"/>
      <c r="F261" s="8"/>
      <c r="G261" s="8"/>
      <c r="H261" s="8"/>
      <c r="I261" s="8"/>
      <c r="J261" s="8"/>
      <c r="K261" s="8"/>
      <c r="L261" s="8"/>
      <c r="M261" s="8"/>
      <c r="N261" s="8"/>
    </row>
    <row r="262" spans="2:14" x14ac:dyDescent="0.4">
      <c r="B262" s="8"/>
      <c r="C262" s="8"/>
      <c r="D262" s="8"/>
      <c r="E262" s="8"/>
      <c r="F262" s="8"/>
      <c r="G262" s="8"/>
      <c r="H262" s="8"/>
      <c r="I262" s="8"/>
      <c r="J262" s="8"/>
      <c r="K262" s="8"/>
      <c r="L262" s="8"/>
      <c r="M262" s="8"/>
      <c r="N262" s="8"/>
    </row>
    <row r="263" spans="2:14" x14ac:dyDescent="0.4">
      <c r="B263" s="8"/>
      <c r="C263" s="8"/>
      <c r="D263" s="8"/>
      <c r="E263" s="8"/>
      <c r="F263" s="8"/>
      <c r="G263" s="8"/>
      <c r="H263" s="8"/>
      <c r="I263" s="8"/>
      <c r="J263" s="8"/>
      <c r="K263" s="8"/>
      <c r="L263" s="8"/>
      <c r="M263" s="8"/>
      <c r="N263" s="8"/>
    </row>
    <row r="264" spans="2:14" x14ac:dyDescent="0.4">
      <c r="B264" s="8"/>
      <c r="C264" s="8"/>
      <c r="D264" s="8"/>
      <c r="E264" s="8"/>
      <c r="F264" s="8"/>
      <c r="G264" s="8"/>
      <c r="H264" s="8"/>
      <c r="I264" s="8"/>
      <c r="J264" s="8"/>
      <c r="K264" s="8"/>
      <c r="L264" s="8"/>
      <c r="M264" s="8"/>
      <c r="N264" s="8"/>
    </row>
    <row r="265" spans="2:14" x14ac:dyDescent="0.4">
      <c r="B265" s="8"/>
      <c r="C265" s="8"/>
      <c r="D265" s="8"/>
      <c r="E265" s="8"/>
      <c r="F265" s="8"/>
      <c r="G265" s="8"/>
      <c r="H265" s="8"/>
      <c r="I265" s="8"/>
      <c r="J265" s="8"/>
      <c r="K265" s="8"/>
      <c r="L265" s="8"/>
      <c r="M265" s="8"/>
      <c r="N265" s="8"/>
    </row>
    <row r="266" spans="2:14" x14ac:dyDescent="0.4">
      <c r="B266" s="8"/>
      <c r="C266" s="8"/>
      <c r="D266" s="8"/>
      <c r="E266" s="8"/>
      <c r="F266" s="8"/>
      <c r="G266" s="8"/>
      <c r="H266" s="8"/>
      <c r="I266" s="8"/>
      <c r="J266" s="8"/>
      <c r="K266" s="8"/>
      <c r="L266" s="8"/>
      <c r="M266" s="8"/>
      <c r="N266" s="8"/>
    </row>
    <row r="267" spans="2:14" x14ac:dyDescent="0.4">
      <c r="B267" s="8"/>
      <c r="C267" s="8"/>
      <c r="D267" s="8"/>
      <c r="E267" s="8"/>
      <c r="F267" s="8"/>
      <c r="G267" s="8"/>
      <c r="H267" s="8"/>
      <c r="I267" s="8"/>
      <c r="J267" s="8"/>
      <c r="K267" s="8"/>
      <c r="L267" s="8"/>
      <c r="M267" s="8"/>
      <c r="N267" s="8"/>
    </row>
    <row r="268" spans="2:14" x14ac:dyDescent="0.4">
      <c r="B268" s="8"/>
      <c r="C268" s="8"/>
      <c r="D268" s="8"/>
      <c r="E268" s="8"/>
      <c r="F268" s="8"/>
      <c r="G268" s="8"/>
      <c r="H268" s="8"/>
      <c r="I268" s="8"/>
      <c r="J268" s="8"/>
      <c r="K268" s="8"/>
      <c r="L268" s="8"/>
      <c r="M268" s="8"/>
      <c r="N268" s="8"/>
    </row>
    <row r="269" spans="2:14" x14ac:dyDescent="0.4">
      <c r="B269" s="8"/>
      <c r="C269" s="8"/>
      <c r="D269" s="8"/>
      <c r="E269" s="8"/>
      <c r="F269" s="8"/>
      <c r="G269" s="8"/>
      <c r="H269" s="8"/>
      <c r="I269" s="8"/>
      <c r="J269" s="8"/>
      <c r="K269" s="8"/>
      <c r="L269" s="8"/>
      <c r="M269" s="8"/>
      <c r="N269" s="8"/>
    </row>
    <row r="270" spans="2:14" x14ac:dyDescent="0.4">
      <c r="B270" s="8"/>
      <c r="C270" s="8"/>
      <c r="D270" s="8"/>
      <c r="E270" s="8"/>
      <c r="F270" s="8"/>
      <c r="G270" s="8"/>
      <c r="H270" s="8"/>
      <c r="I270" s="8"/>
      <c r="J270" s="8"/>
      <c r="K270" s="8"/>
      <c r="L270" s="8"/>
      <c r="M270" s="8"/>
      <c r="N270" s="8"/>
    </row>
    <row r="271" spans="2:14" x14ac:dyDescent="0.4">
      <c r="B271" s="8"/>
      <c r="C271" s="8"/>
      <c r="D271" s="8"/>
      <c r="E271" s="8"/>
      <c r="F271" s="8"/>
      <c r="G271" s="8"/>
      <c r="H271" s="8"/>
      <c r="I271" s="8"/>
      <c r="J271" s="8"/>
      <c r="K271" s="8"/>
      <c r="L271" s="8"/>
      <c r="M271" s="8"/>
      <c r="N271" s="8"/>
    </row>
    <row r="272" spans="2:14" x14ac:dyDescent="0.4">
      <c r="B272" s="8"/>
      <c r="C272" s="8"/>
      <c r="D272" s="8"/>
      <c r="E272" s="8"/>
      <c r="F272" s="8"/>
      <c r="G272" s="8"/>
      <c r="H272" s="8"/>
      <c r="I272" s="8"/>
      <c r="J272" s="8"/>
      <c r="K272" s="8"/>
      <c r="L272" s="8"/>
      <c r="M272" s="8"/>
      <c r="N272" s="8"/>
    </row>
    <row r="273" spans="2:14" x14ac:dyDescent="0.4">
      <c r="B273" s="8"/>
      <c r="C273" s="8"/>
      <c r="D273" s="8"/>
      <c r="E273" s="8"/>
      <c r="F273" s="8"/>
      <c r="G273" s="8"/>
      <c r="H273" s="8"/>
      <c r="I273" s="8"/>
      <c r="J273" s="8"/>
      <c r="K273" s="8"/>
      <c r="L273" s="8"/>
      <c r="M273" s="8"/>
      <c r="N273" s="8"/>
    </row>
    <row r="274" spans="2:14" x14ac:dyDescent="0.4">
      <c r="B274" s="8"/>
      <c r="C274" s="8"/>
      <c r="D274" s="8"/>
      <c r="E274" s="8"/>
      <c r="F274" s="8"/>
      <c r="G274" s="8"/>
      <c r="H274" s="8"/>
      <c r="I274" s="8"/>
      <c r="J274" s="8"/>
      <c r="K274" s="8"/>
      <c r="L274" s="8"/>
      <c r="M274" s="8"/>
      <c r="N274" s="8"/>
    </row>
    <row r="275" spans="2:14" x14ac:dyDescent="0.4">
      <c r="B275" s="8"/>
      <c r="C275" s="8"/>
      <c r="D275" s="8"/>
      <c r="E275" s="8"/>
      <c r="F275" s="8"/>
      <c r="G275" s="8"/>
      <c r="H275" s="8"/>
      <c r="I275" s="8"/>
      <c r="J275" s="8"/>
      <c r="K275" s="8"/>
      <c r="L275" s="8"/>
      <c r="M275" s="8"/>
      <c r="N275" s="8"/>
    </row>
    <row r="276" spans="2:14" x14ac:dyDescent="0.4">
      <c r="B276" s="8"/>
      <c r="C276" s="8"/>
      <c r="D276" s="8"/>
      <c r="E276" s="8"/>
      <c r="F276" s="8"/>
      <c r="G276" s="8"/>
      <c r="H276" s="8"/>
      <c r="I276" s="8"/>
      <c r="J276" s="8"/>
      <c r="K276" s="8"/>
      <c r="L276" s="8"/>
      <c r="M276" s="8"/>
      <c r="N276" s="8"/>
    </row>
    <row r="277" spans="2:14" x14ac:dyDescent="0.4">
      <c r="B277" s="8"/>
      <c r="C277" s="8"/>
      <c r="D277" s="8"/>
      <c r="E277" s="8"/>
      <c r="F277" s="8"/>
      <c r="G277" s="8"/>
      <c r="H277" s="8"/>
      <c r="I277" s="8"/>
      <c r="J277" s="8"/>
      <c r="K277" s="8"/>
      <c r="L277" s="8"/>
      <c r="M277" s="8"/>
      <c r="N277" s="8"/>
    </row>
    <row r="278" spans="2:14" x14ac:dyDescent="0.4">
      <c r="B278" s="8"/>
      <c r="C278" s="8"/>
      <c r="D278" s="8"/>
      <c r="E278" s="8"/>
      <c r="F278" s="8"/>
      <c r="G278" s="8"/>
      <c r="H278" s="8"/>
      <c r="I278" s="8"/>
      <c r="J278" s="8"/>
      <c r="K278" s="8"/>
      <c r="L278" s="8"/>
      <c r="M278" s="8"/>
      <c r="N278" s="8"/>
    </row>
    <row r="279" spans="2:14" x14ac:dyDescent="0.4">
      <c r="B279" s="8"/>
      <c r="C279" s="8"/>
      <c r="D279" s="8"/>
      <c r="E279" s="8"/>
      <c r="F279" s="8"/>
      <c r="G279" s="8"/>
      <c r="H279" s="8"/>
      <c r="I279" s="8"/>
      <c r="J279" s="8"/>
      <c r="K279" s="8"/>
      <c r="L279" s="8"/>
      <c r="M279" s="8"/>
      <c r="N279" s="8"/>
    </row>
    <row r="280" spans="2:14" x14ac:dyDescent="0.4">
      <c r="B280" s="8"/>
      <c r="C280" s="8"/>
      <c r="D280" s="8"/>
      <c r="E280" s="8"/>
      <c r="F280" s="8"/>
      <c r="G280" s="8"/>
      <c r="H280" s="8"/>
      <c r="I280" s="8"/>
      <c r="J280" s="8"/>
      <c r="K280" s="8"/>
      <c r="L280" s="8"/>
      <c r="M280" s="8"/>
      <c r="N280" s="8"/>
    </row>
    <row r="281" spans="2:14" x14ac:dyDescent="0.4">
      <c r="B281" s="8"/>
      <c r="C281" s="8"/>
      <c r="D281" s="8"/>
      <c r="E281" s="8"/>
      <c r="F281" s="8"/>
      <c r="G281" s="8"/>
      <c r="H281" s="8"/>
      <c r="I281" s="8"/>
      <c r="J281" s="8"/>
      <c r="K281" s="8"/>
      <c r="L281" s="8"/>
      <c r="M281" s="8"/>
      <c r="N281" s="8"/>
    </row>
    <row r="282" spans="2:14" x14ac:dyDescent="0.4">
      <c r="B282" s="8"/>
      <c r="C282" s="8"/>
      <c r="D282" s="8"/>
      <c r="E282" s="8"/>
      <c r="F282" s="8"/>
      <c r="G282" s="8"/>
      <c r="H282" s="8"/>
      <c r="I282" s="8"/>
      <c r="J282" s="8"/>
      <c r="K282" s="8"/>
      <c r="L282" s="8"/>
      <c r="M282" s="8"/>
      <c r="N282" s="8"/>
    </row>
    <row r="283" spans="2:14" x14ac:dyDescent="0.4">
      <c r="B283" s="8"/>
      <c r="C283" s="8"/>
      <c r="D283" s="8"/>
      <c r="E283" s="8"/>
      <c r="F283" s="8"/>
      <c r="G283" s="8"/>
      <c r="H283" s="8"/>
      <c r="I283" s="8"/>
      <c r="J283" s="8"/>
      <c r="K283" s="8"/>
      <c r="L283" s="8"/>
      <c r="M283" s="8"/>
      <c r="N283" s="8"/>
    </row>
    <row r="284" spans="2:14" x14ac:dyDescent="0.4">
      <c r="B284" s="8"/>
      <c r="C284" s="8"/>
      <c r="D284" s="8"/>
      <c r="E284" s="8"/>
      <c r="F284" s="8"/>
      <c r="G284" s="8"/>
      <c r="H284" s="8"/>
      <c r="I284" s="8"/>
      <c r="J284" s="8"/>
      <c r="K284" s="8"/>
      <c r="L284" s="8"/>
      <c r="M284" s="8"/>
      <c r="N284" s="8"/>
    </row>
    <row r="285" spans="2:14" x14ac:dyDescent="0.4">
      <c r="B285" s="8"/>
      <c r="C285" s="8"/>
      <c r="D285" s="8"/>
      <c r="E285" s="8"/>
      <c r="F285" s="8"/>
      <c r="G285" s="8"/>
      <c r="H285" s="8"/>
      <c r="I285" s="8"/>
      <c r="J285" s="8"/>
      <c r="K285" s="8"/>
      <c r="L285" s="8"/>
      <c r="M285" s="8"/>
      <c r="N285" s="8"/>
    </row>
    <row r="286" spans="2:14" x14ac:dyDescent="0.4">
      <c r="B286" s="8"/>
      <c r="C286" s="8"/>
      <c r="D286" s="8"/>
      <c r="E286" s="8"/>
      <c r="F286" s="8"/>
      <c r="G286" s="8"/>
      <c r="H286" s="8"/>
      <c r="I286" s="8"/>
      <c r="J286" s="8"/>
      <c r="K286" s="8"/>
      <c r="L286" s="8"/>
      <c r="M286" s="8"/>
      <c r="N286" s="8"/>
    </row>
    <row r="287" spans="2:14" x14ac:dyDescent="0.4">
      <c r="B287" s="8"/>
      <c r="C287" s="8"/>
      <c r="D287" s="8"/>
      <c r="E287" s="8"/>
      <c r="F287" s="8"/>
      <c r="G287" s="8"/>
      <c r="H287" s="8"/>
      <c r="I287" s="8"/>
      <c r="J287" s="8"/>
      <c r="K287" s="8"/>
      <c r="L287" s="8"/>
      <c r="M287" s="8"/>
      <c r="N287" s="8"/>
    </row>
    <row r="288" spans="2:14" x14ac:dyDescent="0.4">
      <c r="B288" s="8"/>
      <c r="C288" s="8"/>
      <c r="D288" s="8"/>
      <c r="E288" s="8"/>
      <c r="F288" s="8"/>
      <c r="G288" s="8"/>
      <c r="H288" s="8"/>
      <c r="I288" s="8"/>
      <c r="J288" s="8"/>
      <c r="K288" s="8"/>
      <c r="L288" s="8"/>
      <c r="M288" s="8"/>
      <c r="N288" s="8"/>
    </row>
    <row r="289" spans="2:14" x14ac:dyDescent="0.4">
      <c r="B289" s="8"/>
      <c r="C289" s="8"/>
      <c r="D289" s="8"/>
      <c r="E289" s="8"/>
      <c r="F289" s="8"/>
      <c r="G289" s="8"/>
      <c r="H289" s="8"/>
      <c r="I289" s="8"/>
      <c r="J289" s="8"/>
      <c r="K289" s="8"/>
      <c r="L289" s="8"/>
      <c r="M289" s="8"/>
      <c r="N289" s="8"/>
    </row>
    <row r="290" spans="2:14" x14ac:dyDescent="0.4">
      <c r="B290" s="8"/>
      <c r="C290" s="8"/>
      <c r="D290" s="8"/>
      <c r="E290" s="8"/>
      <c r="F290" s="8"/>
      <c r="G290" s="8"/>
      <c r="H290" s="8"/>
      <c r="I290" s="8"/>
      <c r="J290" s="8"/>
      <c r="K290" s="8"/>
      <c r="L290" s="8"/>
      <c r="M290" s="8"/>
      <c r="N290" s="8"/>
    </row>
    <row r="291" spans="2:14" x14ac:dyDescent="0.4">
      <c r="B291" s="8"/>
      <c r="C291" s="8"/>
      <c r="D291" s="8"/>
      <c r="E291" s="8"/>
      <c r="F291" s="8"/>
      <c r="G291" s="8"/>
      <c r="H291" s="8"/>
      <c r="I291" s="8"/>
      <c r="J291" s="8"/>
      <c r="K291" s="8"/>
      <c r="L291" s="8"/>
      <c r="M291" s="8"/>
      <c r="N291" s="8"/>
    </row>
    <row r="292" spans="2:14" x14ac:dyDescent="0.4">
      <c r="B292" s="8"/>
      <c r="C292" s="8"/>
      <c r="D292" s="8"/>
      <c r="E292" s="8"/>
      <c r="F292" s="8"/>
      <c r="G292" s="8"/>
      <c r="H292" s="8"/>
      <c r="I292" s="8"/>
      <c r="J292" s="8"/>
      <c r="K292" s="8"/>
      <c r="L292" s="8"/>
      <c r="M292" s="8"/>
      <c r="N292" s="8"/>
    </row>
    <row r="293" spans="2:14" x14ac:dyDescent="0.4">
      <c r="B293" s="8"/>
      <c r="C293" s="8"/>
      <c r="D293" s="8"/>
      <c r="E293" s="8"/>
      <c r="F293" s="8"/>
      <c r="G293" s="8"/>
      <c r="H293" s="8"/>
      <c r="I293" s="8"/>
      <c r="J293" s="8"/>
      <c r="K293" s="8"/>
      <c r="L293" s="8"/>
      <c r="M293" s="8"/>
      <c r="N293" s="8"/>
    </row>
    <row r="294" spans="2:14" x14ac:dyDescent="0.4">
      <c r="B294" s="8"/>
      <c r="C294" s="8"/>
      <c r="D294" s="8"/>
      <c r="E294" s="8"/>
      <c r="F294" s="8"/>
      <c r="G294" s="8"/>
      <c r="H294" s="8"/>
      <c r="I294" s="8"/>
      <c r="J294" s="8"/>
      <c r="K294" s="8"/>
      <c r="L294" s="8"/>
      <c r="M294" s="8"/>
      <c r="N294" s="8"/>
    </row>
    <row r="295" spans="2:14" x14ac:dyDescent="0.4">
      <c r="B295" s="8"/>
      <c r="C295" s="8"/>
      <c r="D295" s="8"/>
      <c r="E295" s="8"/>
      <c r="F295" s="8"/>
      <c r="G295" s="8"/>
      <c r="H295" s="8"/>
      <c r="I295" s="8"/>
      <c r="J295" s="8"/>
      <c r="K295" s="8"/>
      <c r="L295" s="8"/>
      <c r="M295" s="8"/>
      <c r="N295" s="8"/>
    </row>
    <row r="296" spans="2:14" x14ac:dyDescent="0.4">
      <c r="B296" s="8"/>
      <c r="C296" s="8"/>
      <c r="D296" s="8"/>
      <c r="E296" s="8"/>
      <c r="F296" s="8"/>
      <c r="G296" s="8"/>
      <c r="H296" s="8"/>
      <c r="I296" s="8"/>
      <c r="J296" s="8"/>
      <c r="K296" s="8"/>
      <c r="L296" s="8"/>
      <c r="M296" s="8"/>
      <c r="N296" s="8"/>
    </row>
    <row r="297" spans="2:14" x14ac:dyDescent="0.4">
      <c r="B297" s="8"/>
      <c r="C297" s="8"/>
      <c r="D297" s="8"/>
      <c r="E297" s="8"/>
      <c r="F297" s="8"/>
      <c r="G297" s="8"/>
      <c r="H297" s="8"/>
      <c r="I297" s="8"/>
      <c r="J297" s="8"/>
      <c r="K297" s="8"/>
      <c r="L297" s="8"/>
      <c r="M297" s="8"/>
      <c r="N297" s="8"/>
    </row>
  </sheetData>
  <sheetProtection algorithmName="SHA-512" hashValue="8OOdX65HsVJT/7ZvP2Y6oMy6kQVydZV41Pe5ftwqXFXokqQQ3TCnzhS7T6pPmKzXcqcg4FP0yTrxYcCCq3eB5A==" saltValue="HTbDdBj8xPsiTwvCz2NgJw==" spinCount="100000" sheet="1" objects="1" scenarios="1"/>
  <mergeCells count="70">
    <mergeCell ref="C109:G109"/>
    <mergeCell ref="B113:H113"/>
    <mergeCell ref="B98:B103"/>
    <mergeCell ref="B104:G104"/>
    <mergeCell ref="B105:G105"/>
    <mergeCell ref="B106:G106"/>
    <mergeCell ref="B107:G107"/>
    <mergeCell ref="C108:G108"/>
    <mergeCell ref="B92:B97"/>
    <mergeCell ref="F67:H67"/>
    <mergeCell ref="I67:K67"/>
    <mergeCell ref="L67:N67"/>
    <mergeCell ref="B71:N71"/>
    <mergeCell ref="B72:N72"/>
    <mergeCell ref="B73:N73"/>
    <mergeCell ref="B74:N74"/>
    <mergeCell ref="B75:N75"/>
    <mergeCell ref="B77:G77"/>
    <mergeCell ref="B80:B85"/>
    <mergeCell ref="B86:B91"/>
    <mergeCell ref="C57:E57"/>
    <mergeCell ref="B58:E58"/>
    <mergeCell ref="B59:E59"/>
    <mergeCell ref="C61:E61"/>
    <mergeCell ref="B67:B68"/>
    <mergeCell ref="C67:C68"/>
    <mergeCell ref="D67:D68"/>
    <mergeCell ref="E67:E68"/>
    <mergeCell ref="C56:E56"/>
    <mergeCell ref="B39:C39"/>
    <mergeCell ref="B42:E42"/>
    <mergeCell ref="C43:E43"/>
    <mergeCell ref="C44:E44"/>
    <mergeCell ref="C45:E45"/>
    <mergeCell ref="B46:E46"/>
    <mergeCell ref="B48:E48"/>
    <mergeCell ref="B51:E51"/>
    <mergeCell ref="B53:E53"/>
    <mergeCell ref="B54:B55"/>
    <mergeCell ref="C54:E55"/>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 ref="A5:A6"/>
    <mergeCell ref="A8:A9"/>
    <mergeCell ref="A11:A12"/>
    <mergeCell ref="A48:A51"/>
    <mergeCell ref="A53:A59"/>
    <mergeCell ref="A63:A75"/>
    <mergeCell ref="A77:A107"/>
    <mergeCell ref="A14:A15"/>
    <mergeCell ref="A17:A23"/>
    <mergeCell ref="A26:A33"/>
    <mergeCell ref="A35:A39"/>
    <mergeCell ref="A42:A46"/>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U369"/>
  <sheetViews>
    <sheetView topLeftCell="A81" zoomScale="82" zoomScaleNormal="82" workbookViewId="0">
      <selection activeCell="E91" sqref="E91"/>
    </sheetView>
  </sheetViews>
  <sheetFormatPr defaultColWidth="8.84375" defaultRowHeight="13.25" x14ac:dyDescent="0.4"/>
  <cols>
    <col min="1" max="1" width="8.84375" style="181"/>
    <col min="2" max="2" width="40.84375" style="181" customWidth="1"/>
    <col min="3" max="3" width="43.4609375" style="181" customWidth="1"/>
    <col min="4" max="4" width="15.84375" style="181" customWidth="1"/>
    <col min="5" max="5" width="22.3046875" style="181" customWidth="1"/>
    <col min="6" max="6" width="11.3046875" style="181" customWidth="1"/>
    <col min="7" max="7" width="12.69140625" style="181" customWidth="1"/>
    <col min="8" max="16384" width="8.84375" style="181"/>
  </cols>
  <sheetData>
    <row r="1" spans="1:99" x14ac:dyDescent="0.4">
      <c r="A1" s="355" t="s">
        <v>0</v>
      </c>
      <c r="B1" s="355"/>
      <c r="C1" s="8"/>
      <c r="D1" s="1"/>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row>
    <row r="2" spans="1:99" x14ac:dyDescent="0.4">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row>
    <row r="3" spans="1:99" x14ac:dyDescent="0.4">
      <c r="A3" s="27" t="s">
        <v>1</v>
      </c>
      <c r="B3" s="3" t="s">
        <v>2</v>
      </c>
      <c r="C3" s="4" t="s">
        <v>772</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row>
    <row r="4" spans="1:99" x14ac:dyDescent="0.4">
      <c r="A4" s="8"/>
      <c r="B4" s="8"/>
      <c r="C4" s="8"/>
      <c r="D4" s="5"/>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row>
    <row r="5" spans="1:99" x14ac:dyDescent="0.4">
      <c r="A5" s="398">
        <v>1</v>
      </c>
      <c r="B5" s="267" t="s">
        <v>3</v>
      </c>
      <c r="C5" s="356" t="s">
        <v>697</v>
      </c>
      <c r="D5" s="357"/>
      <c r="E5" s="35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row>
    <row r="6" spans="1:99" x14ac:dyDescent="0.4">
      <c r="A6" s="398"/>
      <c r="B6" s="362" t="s">
        <v>5</v>
      </c>
      <c r="C6" s="359"/>
      <c r="D6" s="359"/>
      <c r="E6" s="10"/>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row>
    <row r="7" spans="1:99" x14ac:dyDescent="0.4">
      <c r="A7" s="9"/>
      <c r="B7" s="11"/>
      <c r="C7" s="8"/>
      <c r="D7" s="5"/>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row>
    <row r="8" spans="1:99" x14ac:dyDescent="0.4">
      <c r="A8" s="398">
        <v>2</v>
      </c>
      <c r="B8" s="267" t="s">
        <v>6</v>
      </c>
      <c r="C8" s="12" t="s">
        <v>773</v>
      </c>
      <c r="D8" s="5"/>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x14ac:dyDescent="0.4">
      <c r="A9" s="398"/>
      <c r="B9" s="361" t="s">
        <v>5</v>
      </c>
      <c r="C9" s="361"/>
      <c r="D9" s="362"/>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row>
    <row r="10" spans="1:99" x14ac:dyDescent="0.4">
      <c r="A10" s="9"/>
      <c r="B10" s="11"/>
      <c r="C10" s="8"/>
      <c r="D10" s="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row>
    <row r="11" spans="1:99" x14ac:dyDescent="0.4">
      <c r="A11" s="398">
        <v>3</v>
      </c>
      <c r="B11" s="267" t="s">
        <v>7</v>
      </c>
      <c r="C11" s="356" t="s">
        <v>1108</v>
      </c>
      <c r="D11" s="357"/>
      <c r="E11" s="35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row>
    <row r="12" spans="1:99" x14ac:dyDescent="0.4">
      <c r="A12" s="398"/>
      <c r="B12" s="362" t="s">
        <v>5</v>
      </c>
      <c r="C12" s="359"/>
      <c r="D12" s="359"/>
      <c r="E12" s="10"/>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row>
    <row r="13" spans="1:99" x14ac:dyDescent="0.4">
      <c r="A13" s="9"/>
      <c r="B13" s="11"/>
      <c r="C13" s="8"/>
      <c r="D13" s="5"/>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row>
    <row r="14" spans="1:99" x14ac:dyDescent="0.4">
      <c r="A14" s="398">
        <v>4</v>
      </c>
      <c r="B14" s="3" t="s">
        <v>9</v>
      </c>
      <c r="C14" s="4" t="s">
        <v>878</v>
      </c>
      <c r="D14" s="5"/>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row>
    <row r="15" spans="1:99" x14ac:dyDescent="0.4">
      <c r="A15" s="398"/>
      <c r="B15" s="363" t="s">
        <v>10</v>
      </c>
      <c r="C15" s="364"/>
      <c r="D15" s="5"/>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row>
    <row r="16" spans="1:99" x14ac:dyDescent="0.4">
      <c r="A16" s="9"/>
      <c r="B16" s="8"/>
      <c r="C16" s="8"/>
      <c r="D16" s="5"/>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row>
    <row r="17" spans="1:99" x14ac:dyDescent="0.4">
      <c r="A17" s="398">
        <v>5</v>
      </c>
      <c r="B17" s="365" t="s">
        <v>1082</v>
      </c>
      <c r="C17" s="366"/>
      <c r="D17" s="366"/>
      <c r="E17" s="366"/>
      <c r="F17" s="11"/>
      <c r="G17" s="11"/>
      <c r="H17" s="11"/>
      <c r="I17" s="11"/>
      <c r="J17" s="13"/>
      <c r="K17" s="13"/>
      <c r="L17" s="13"/>
      <c r="M17" s="13"/>
      <c r="N17" s="13"/>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row>
    <row r="18" spans="1:99" x14ac:dyDescent="0.4">
      <c r="A18" s="398"/>
      <c r="B18" s="14" t="s">
        <v>12</v>
      </c>
      <c r="C18" s="367" t="s">
        <v>13</v>
      </c>
      <c r="D18" s="367"/>
      <c r="E18" s="367"/>
      <c r="F18" s="15"/>
      <c r="G18" s="13"/>
      <c r="H18" s="13"/>
      <c r="I18" s="13"/>
      <c r="J18" s="13"/>
      <c r="K18" s="13"/>
      <c r="L18" s="13"/>
      <c r="M18" s="13"/>
      <c r="N18" s="13"/>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row>
    <row r="19" spans="1:99" ht="25.65" x14ac:dyDescent="0.4">
      <c r="A19" s="398"/>
      <c r="B19" s="14" t="s">
        <v>1131</v>
      </c>
      <c r="C19" s="354" t="s">
        <v>13</v>
      </c>
      <c r="D19" s="354"/>
      <c r="E19" s="354"/>
      <c r="F19" s="15"/>
      <c r="G19" s="13"/>
      <c r="H19" s="8"/>
      <c r="I19" s="13"/>
      <c r="J19" s="13"/>
      <c r="K19" s="13"/>
      <c r="L19" s="13"/>
      <c r="M19" s="13"/>
      <c r="N19" s="13"/>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row>
    <row r="20" spans="1:99" x14ac:dyDescent="0.4">
      <c r="A20" s="398"/>
      <c r="B20" s="14" t="s">
        <v>605</v>
      </c>
      <c r="C20" s="354" t="s">
        <v>13</v>
      </c>
      <c r="D20" s="354"/>
      <c r="E20" s="354"/>
      <c r="F20" s="15"/>
      <c r="G20" s="13"/>
      <c r="H20" s="13"/>
      <c r="I20" s="13"/>
      <c r="J20" s="13"/>
      <c r="K20" s="13"/>
      <c r="L20" s="13"/>
      <c r="M20" s="13"/>
      <c r="N20" s="13"/>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row>
    <row r="21" spans="1:99" x14ac:dyDescent="0.4">
      <c r="A21" s="398"/>
      <c r="B21" s="14" t="s">
        <v>15</v>
      </c>
      <c r="C21" s="354" t="s">
        <v>13</v>
      </c>
      <c r="D21" s="354"/>
      <c r="E21" s="354"/>
      <c r="F21" s="15"/>
      <c r="G21" s="13"/>
      <c r="H21" s="13"/>
      <c r="I21" s="13"/>
      <c r="J21" s="13"/>
      <c r="K21" s="13"/>
      <c r="L21" s="13"/>
      <c r="M21" s="13"/>
      <c r="N21" s="13"/>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row>
    <row r="22" spans="1:99" x14ac:dyDescent="0.4">
      <c r="A22" s="398"/>
      <c r="B22" s="16" t="s">
        <v>16</v>
      </c>
      <c r="C22" s="447" t="s">
        <v>13</v>
      </c>
      <c r="D22" s="447"/>
      <c r="E22" s="447"/>
      <c r="F22" s="15"/>
      <c r="G22" s="13"/>
      <c r="H22" s="13"/>
      <c r="I22" s="13"/>
      <c r="J22" s="13"/>
      <c r="K22" s="13"/>
      <c r="L22" s="13"/>
      <c r="M22" s="13"/>
      <c r="N22" s="13"/>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row>
    <row r="23" spans="1:99" x14ac:dyDescent="0.4">
      <c r="A23" s="398"/>
      <c r="B23" s="363" t="s">
        <v>294</v>
      </c>
      <c r="C23" s="368"/>
      <c r="D23" s="368"/>
      <c r="E23" s="369"/>
      <c r="F23" s="15"/>
      <c r="G23" s="13"/>
      <c r="H23" s="13"/>
      <c r="I23" s="13"/>
      <c r="J23" s="13"/>
      <c r="K23" s="13"/>
      <c r="L23" s="13"/>
      <c r="M23" s="13"/>
      <c r="N23" s="13"/>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row>
    <row r="24" spans="1:99" x14ac:dyDescent="0.4">
      <c r="A24" s="9"/>
      <c r="B24" s="8"/>
      <c r="C24" s="13"/>
      <c r="D24" s="13"/>
      <c r="E24" s="13"/>
      <c r="F24" s="15"/>
      <c r="G24" s="13"/>
      <c r="H24" s="13"/>
      <c r="I24" s="13"/>
      <c r="J24" s="13"/>
      <c r="K24" s="13"/>
      <c r="L24" s="13"/>
      <c r="M24" s="13"/>
      <c r="N24" s="13"/>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row>
    <row r="25" spans="1:99" x14ac:dyDescent="0.4">
      <c r="A25" s="9"/>
      <c r="B25" s="15"/>
      <c r="C25" s="15"/>
      <c r="D25" s="15"/>
      <c r="E25" s="15"/>
      <c r="F25" s="15"/>
      <c r="G25" s="13"/>
      <c r="H25" s="13"/>
      <c r="I25" s="13"/>
      <c r="J25" s="13"/>
      <c r="K25" s="13"/>
      <c r="L25" s="13"/>
      <c r="M25" s="13"/>
      <c r="N25" s="13"/>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row>
    <row r="26" spans="1:99" x14ac:dyDescent="0.4">
      <c r="A26" s="398">
        <v>6</v>
      </c>
      <c r="B26" s="365" t="s">
        <v>1083</v>
      </c>
      <c r="C26" s="365"/>
      <c r="D26" s="365"/>
      <c r="E26" s="365"/>
      <c r="F26" s="11"/>
      <c r="G26" s="11"/>
      <c r="H26" s="13"/>
      <c r="I26" s="11"/>
      <c r="J26" s="11"/>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row>
    <row r="27" spans="1:99" x14ac:dyDescent="0.4">
      <c r="A27" s="398"/>
      <c r="B27" s="370" t="s">
        <v>19</v>
      </c>
      <c r="C27" s="371"/>
      <c r="D27" s="371"/>
      <c r="E27" s="372"/>
      <c r="F27" s="15"/>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row>
    <row r="28" spans="1:99" x14ac:dyDescent="0.4">
      <c r="A28" s="398"/>
      <c r="B28" s="17" t="s">
        <v>20</v>
      </c>
      <c r="C28" s="18" t="s">
        <v>262</v>
      </c>
      <c r="D28" s="18" t="s">
        <v>263</v>
      </c>
      <c r="E28" s="18" t="s">
        <v>23</v>
      </c>
      <c r="F28" s="15"/>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row>
    <row r="29" spans="1:99" ht="13.25" customHeight="1" x14ac:dyDescent="0.4">
      <c r="A29" s="398"/>
      <c r="B29" s="19" t="s">
        <v>24</v>
      </c>
      <c r="C29" s="20">
        <v>5491.04</v>
      </c>
      <c r="D29" s="20">
        <v>9008.26</v>
      </c>
      <c r="E29" s="20">
        <v>10479.09</v>
      </c>
      <c r="F29" s="15"/>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row>
    <row r="30" spans="1:99" x14ac:dyDescent="0.4">
      <c r="A30" s="398"/>
      <c r="B30" s="19" t="s">
        <v>25</v>
      </c>
      <c r="C30" s="20">
        <v>162.35</v>
      </c>
      <c r="D30" s="20">
        <v>240.73</v>
      </c>
      <c r="E30" s="20">
        <v>280.52</v>
      </c>
      <c r="F30" s="15"/>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row>
    <row r="31" spans="1:99" x14ac:dyDescent="0.4">
      <c r="A31" s="398"/>
      <c r="B31" s="19" t="s">
        <v>26</v>
      </c>
      <c r="C31" s="20">
        <v>1042.4100000000001</v>
      </c>
      <c r="D31" s="20">
        <v>1042.4100000000001</v>
      </c>
      <c r="E31" s="20">
        <v>1042.4100000000001</v>
      </c>
      <c r="F31" s="15"/>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row>
    <row r="32" spans="1:99" x14ac:dyDescent="0.4">
      <c r="A32" s="398"/>
      <c r="B32" s="19" t="s">
        <v>27</v>
      </c>
      <c r="C32" s="20">
        <v>2395.77</v>
      </c>
      <c r="D32" s="20">
        <v>2607.62</v>
      </c>
      <c r="E32" s="20">
        <v>2859.25</v>
      </c>
      <c r="F32" s="15"/>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row>
    <row r="33" spans="1:99" x14ac:dyDescent="0.4">
      <c r="A33" s="398"/>
      <c r="B33" s="363" t="s">
        <v>294</v>
      </c>
      <c r="C33" s="368"/>
      <c r="D33" s="368"/>
      <c r="E33" s="369"/>
      <c r="F33" s="15"/>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row>
    <row r="34" spans="1:99" x14ac:dyDescent="0.4">
      <c r="A34" s="9"/>
      <c r="B34" s="13"/>
      <c r="C34" s="15"/>
      <c r="D34" s="15"/>
      <c r="E34" s="15"/>
      <c r="F34" s="15"/>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row>
    <row r="35" spans="1:99" ht="27.75" customHeight="1" x14ac:dyDescent="0.4">
      <c r="A35" s="398">
        <v>7</v>
      </c>
      <c r="B35" s="376" t="s">
        <v>28</v>
      </c>
      <c r="C35" s="365"/>
      <c r="D35" s="365"/>
      <c r="E35" s="365"/>
      <c r="F35" s="11"/>
      <c r="G35" s="11"/>
      <c r="H35" s="11"/>
      <c r="I35" s="11"/>
      <c r="J35" s="11"/>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row>
    <row r="36" spans="1:99" x14ac:dyDescent="0.4">
      <c r="A36" s="398"/>
      <c r="B36" s="266" t="s">
        <v>29</v>
      </c>
      <c r="C36" s="20" t="s">
        <v>183</v>
      </c>
      <c r="D36" s="13"/>
      <c r="E36" s="13"/>
      <c r="F36" s="13"/>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row>
    <row r="37" spans="1:99" x14ac:dyDescent="0.4">
      <c r="A37" s="398"/>
      <c r="B37" s="266" t="s">
        <v>31</v>
      </c>
      <c r="C37" s="20" t="s">
        <v>808</v>
      </c>
      <c r="D37" s="13"/>
      <c r="E37" s="13"/>
      <c r="F37" s="13"/>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row>
    <row r="38" spans="1:99" x14ac:dyDescent="0.4">
      <c r="A38" s="398"/>
      <c r="B38" s="274" t="s">
        <v>32</v>
      </c>
      <c r="C38" s="155" t="s">
        <v>183</v>
      </c>
      <c r="D38" s="13"/>
      <c r="E38" s="13"/>
      <c r="F38" s="13"/>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row>
    <row r="39" spans="1:99" x14ac:dyDescent="0.4">
      <c r="A39" s="398"/>
      <c r="B39" s="362" t="s">
        <v>244</v>
      </c>
      <c r="C39" s="359"/>
      <c r="D39" s="13"/>
      <c r="E39" s="13"/>
      <c r="F39" s="13"/>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row>
    <row r="40" spans="1:99" x14ac:dyDescent="0.4">
      <c r="A40" s="9"/>
      <c r="B40" s="8"/>
      <c r="C40" s="13"/>
      <c r="D40" s="13"/>
      <c r="E40" s="13"/>
      <c r="F40" s="13"/>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row>
    <row r="41" spans="1:99" x14ac:dyDescent="0.4">
      <c r="A41" s="9"/>
      <c r="B41" s="15"/>
      <c r="C41" s="13"/>
      <c r="D41" s="13"/>
      <c r="E41" s="13"/>
      <c r="F41" s="13"/>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row>
    <row r="42" spans="1:99" x14ac:dyDescent="0.4">
      <c r="A42" s="398">
        <v>8</v>
      </c>
      <c r="B42" s="365" t="s">
        <v>1084</v>
      </c>
      <c r="C42" s="365"/>
      <c r="D42" s="365"/>
      <c r="E42" s="365"/>
      <c r="F42" s="11"/>
      <c r="G42" s="11"/>
      <c r="H42" s="11"/>
      <c r="I42" s="11"/>
      <c r="J42" s="11"/>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row>
    <row r="43" spans="1:99" x14ac:dyDescent="0.4">
      <c r="A43" s="398"/>
      <c r="B43" s="17" t="s">
        <v>34</v>
      </c>
      <c r="C43" s="373" t="s">
        <v>730</v>
      </c>
      <c r="D43" s="374"/>
      <c r="E43" s="375"/>
      <c r="F43" s="13"/>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row>
    <row r="44" spans="1:99" x14ac:dyDescent="0.4">
      <c r="A44" s="398"/>
      <c r="B44" s="17" t="s">
        <v>31</v>
      </c>
      <c r="C44" s="373" t="s">
        <v>755</v>
      </c>
      <c r="D44" s="374"/>
      <c r="E44" s="375"/>
      <c r="F44" s="13"/>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row>
    <row r="45" spans="1:99" ht="24" customHeight="1" x14ac:dyDescent="0.4">
      <c r="A45" s="398"/>
      <c r="B45" s="17" t="s">
        <v>32</v>
      </c>
      <c r="C45" s="446" t="s">
        <v>879</v>
      </c>
      <c r="D45" s="446"/>
      <c r="E45" s="446"/>
      <c r="F45" s="13"/>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row>
    <row r="46" spans="1:99" x14ac:dyDescent="0.4">
      <c r="A46" s="398"/>
      <c r="B46" s="363" t="s">
        <v>35</v>
      </c>
      <c r="C46" s="368"/>
      <c r="D46" s="368"/>
      <c r="E46" s="369"/>
      <c r="F46" s="13"/>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row>
    <row r="47" spans="1:99" x14ac:dyDescent="0.4">
      <c r="A47" s="2"/>
      <c r="B47" s="8"/>
      <c r="C47" s="8"/>
      <c r="D47" s="23"/>
      <c r="E47" s="13"/>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row>
    <row r="48" spans="1:99" x14ac:dyDescent="0.4">
      <c r="A48" s="398">
        <v>9</v>
      </c>
      <c r="B48" s="376" t="s">
        <v>1085</v>
      </c>
      <c r="C48" s="365"/>
      <c r="D48" s="365"/>
      <c r="E48" s="365"/>
      <c r="F48" s="25"/>
      <c r="G48" s="11"/>
      <c r="H48" s="11"/>
      <c r="I48" s="11"/>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row>
    <row r="49" spans="1:99" ht="25.65" x14ac:dyDescent="0.4">
      <c r="A49" s="398"/>
      <c r="B49" s="26" t="s">
        <v>37</v>
      </c>
      <c r="C49" s="27" t="s">
        <v>38</v>
      </c>
      <c r="D49" s="28" t="s">
        <v>39</v>
      </c>
      <c r="E49" s="27" t="s">
        <v>206</v>
      </c>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row>
    <row r="50" spans="1:99" ht="192.05" customHeight="1" x14ac:dyDescent="0.4">
      <c r="A50" s="398"/>
      <c r="B50" s="78" t="s">
        <v>307</v>
      </c>
      <c r="C50" s="278" t="s">
        <v>1134</v>
      </c>
      <c r="D50" s="278" t="s">
        <v>1221</v>
      </c>
      <c r="E50" s="279" t="s">
        <v>186</v>
      </c>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row>
    <row r="51" spans="1:99" x14ac:dyDescent="0.4">
      <c r="A51" s="268"/>
      <c r="B51" s="480" t="s">
        <v>775</v>
      </c>
      <c r="C51" s="480"/>
      <c r="D51" s="480"/>
      <c r="E51" s="480"/>
      <c r="F51" s="15"/>
      <c r="G51" s="15"/>
      <c r="H51" s="15"/>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row>
    <row r="52" spans="1:99" x14ac:dyDescent="0.4">
      <c r="A52" s="36"/>
      <c r="B52" s="62"/>
      <c r="C52" s="23"/>
      <c r="D52" s="23"/>
      <c r="E52" s="23"/>
      <c r="F52" s="15"/>
      <c r="G52" s="15"/>
      <c r="H52" s="15"/>
      <c r="I52" s="15"/>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row>
    <row r="53" spans="1:99" x14ac:dyDescent="0.4">
      <c r="A53" s="398">
        <v>10</v>
      </c>
      <c r="B53" s="376" t="s">
        <v>1085</v>
      </c>
      <c r="C53" s="365"/>
      <c r="D53" s="365"/>
      <c r="E53" s="365"/>
      <c r="F53" s="15"/>
      <c r="G53" s="15"/>
      <c r="H53" s="15"/>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row>
    <row r="54" spans="1:99" x14ac:dyDescent="0.4">
      <c r="A54" s="398"/>
      <c r="B54" s="383" t="s">
        <v>43</v>
      </c>
      <c r="C54" s="481" t="s">
        <v>776</v>
      </c>
      <c r="D54" s="482"/>
      <c r="E54" s="483"/>
      <c r="F54" s="8"/>
      <c r="G54" s="8"/>
      <c r="H54" s="8"/>
      <c r="I54" s="8"/>
      <c r="J54" s="8"/>
      <c r="K54" s="1"/>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row>
    <row r="55" spans="1:99" ht="25.55" customHeight="1" x14ac:dyDescent="0.4">
      <c r="A55" s="398"/>
      <c r="B55" s="384"/>
      <c r="C55" s="484"/>
      <c r="D55" s="485"/>
      <c r="E55" s="486"/>
      <c r="F55" s="8"/>
      <c r="G55" s="8"/>
      <c r="H55" s="8"/>
      <c r="I55" s="8"/>
      <c r="J55" s="8"/>
      <c r="K55" s="1"/>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row>
    <row r="56" spans="1:99" ht="99.75" customHeight="1" x14ac:dyDescent="0.4">
      <c r="A56" s="398"/>
      <c r="B56" s="33" t="s">
        <v>44</v>
      </c>
      <c r="C56" s="493" t="s">
        <v>1221</v>
      </c>
      <c r="D56" s="493"/>
      <c r="E56" s="493"/>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row>
    <row r="57" spans="1:99" x14ac:dyDescent="0.4">
      <c r="A57" s="398"/>
      <c r="B57" s="33" t="s">
        <v>45</v>
      </c>
      <c r="C57" s="471" t="s">
        <v>46</v>
      </c>
      <c r="D57" s="472"/>
      <c r="E57" s="473"/>
      <c r="F57" s="8"/>
      <c r="G57" s="8"/>
      <c r="H57" s="8"/>
      <c r="I57" s="8"/>
      <c r="J57" s="8"/>
      <c r="K57" s="34"/>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row>
    <row r="58" spans="1:99" ht="12.7" customHeight="1" x14ac:dyDescent="0.4">
      <c r="A58" s="398"/>
      <c r="B58" s="380" t="s">
        <v>775</v>
      </c>
      <c r="C58" s="381"/>
      <c r="D58" s="381"/>
      <c r="E58" s="382"/>
      <c r="F58" s="8"/>
      <c r="G58" s="8"/>
      <c r="H58" s="8"/>
      <c r="I58" s="8"/>
      <c r="J58" s="8"/>
      <c r="K58" s="34"/>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row>
    <row r="59" spans="1:99" s="183" customFormat="1" x14ac:dyDescent="0.35">
      <c r="A59" s="398"/>
      <c r="B59" s="392" t="s">
        <v>48</v>
      </c>
      <c r="C59" s="392"/>
      <c r="D59" s="392"/>
      <c r="E59" s="392"/>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row>
    <row r="60" spans="1:99" x14ac:dyDescent="0.4">
      <c r="A60" s="40"/>
      <c r="B60" s="41"/>
      <c r="C60" s="42"/>
      <c r="D60" s="42"/>
      <c r="E60" s="42"/>
      <c r="F60" s="42"/>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row>
    <row r="61" spans="1:99" x14ac:dyDescent="0.4">
      <c r="A61" s="9">
        <v>11</v>
      </c>
      <c r="B61" s="3" t="s">
        <v>49</v>
      </c>
      <c r="C61" s="393" t="s">
        <v>1037</v>
      </c>
      <c r="D61" s="393"/>
      <c r="E61" s="393"/>
      <c r="F61" s="11"/>
      <c r="G61" s="11"/>
      <c r="H61" s="43"/>
      <c r="I61" s="11"/>
      <c r="J61" s="11"/>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row>
    <row r="62" spans="1:99" x14ac:dyDescent="0.4">
      <c r="A62" s="9"/>
      <c r="B62" s="15"/>
      <c r="C62" s="15"/>
      <c r="D62" s="15"/>
      <c r="E62" s="15"/>
      <c r="F62" s="15"/>
      <c r="G62" s="15"/>
      <c r="H62" s="44"/>
      <c r="I62" s="44"/>
      <c r="J62" s="15"/>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row>
    <row r="63" spans="1:99" x14ac:dyDescent="0.4">
      <c r="A63" s="9">
        <v>12</v>
      </c>
      <c r="B63" s="11" t="s">
        <v>51</v>
      </c>
      <c r="C63" s="11"/>
      <c r="D63" s="11"/>
      <c r="E63" s="43"/>
      <c r="F63" s="43"/>
      <c r="G63" s="11"/>
      <c r="H63" s="11"/>
      <c r="I63" s="11"/>
      <c r="J63" s="11"/>
      <c r="K63" s="11"/>
      <c r="L63" s="11"/>
      <c r="M63" s="11"/>
      <c r="N63" s="11"/>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row>
    <row r="64" spans="1:99" x14ac:dyDescent="0.4">
      <c r="A64" s="9"/>
      <c r="B64" s="11"/>
      <c r="C64" s="11"/>
      <c r="D64" s="11"/>
      <c r="E64" s="43"/>
      <c r="F64" s="43"/>
      <c r="G64" s="43"/>
      <c r="H64" s="11"/>
      <c r="I64" s="11"/>
      <c r="J64" s="11"/>
      <c r="K64" s="11"/>
      <c r="L64" s="11"/>
      <c r="M64" s="11"/>
      <c r="N64" s="11"/>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row>
    <row r="65" spans="1:99" x14ac:dyDescent="0.4">
      <c r="A65" s="9"/>
      <c r="B65" s="17" t="s">
        <v>52</v>
      </c>
      <c r="C65" s="19" t="s">
        <v>777</v>
      </c>
      <c r="D65" s="15"/>
      <c r="E65" s="15"/>
      <c r="F65" s="44"/>
      <c r="G65" s="44"/>
      <c r="H65" s="15"/>
      <c r="I65" s="15"/>
      <c r="J65" s="15"/>
      <c r="K65" s="15"/>
      <c r="L65" s="15"/>
      <c r="M65" s="15"/>
      <c r="N65" s="15"/>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row>
    <row r="66" spans="1:99" x14ac:dyDescent="0.4">
      <c r="A66" s="9"/>
      <c r="B66" s="15"/>
      <c r="C66" s="15"/>
      <c r="D66" s="118"/>
      <c r="E66" s="118"/>
      <c r="F66" s="15"/>
      <c r="G66" s="15"/>
      <c r="H66" s="15"/>
      <c r="I66" s="15"/>
      <c r="J66" s="15"/>
      <c r="K66" s="15"/>
      <c r="L66" s="15"/>
      <c r="M66" s="15"/>
      <c r="N66" s="15"/>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row>
    <row r="67" spans="1:99" x14ac:dyDescent="0.4">
      <c r="A67" s="9"/>
      <c r="B67" s="365" t="s">
        <v>53</v>
      </c>
      <c r="C67" s="366" t="s">
        <v>778</v>
      </c>
      <c r="D67" s="366" t="s">
        <v>271</v>
      </c>
      <c r="E67" s="403" t="s">
        <v>232</v>
      </c>
      <c r="F67" s="395" t="s">
        <v>626</v>
      </c>
      <c r="G67" s="396"/>
      <c r="H67" s="397"/>
      <c r="I67" s="398" t="s">
        <v>55</v>
      </c>
      <c r="J67" s="398"/>
      <c r="K67" s="398"/>
      <c r="L67" s="398" t="s">
        <v>56</v>
      </c>
      <c r="M67" s="398"/>
      <c r="N67" s="39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row>
    <row r="68" spans="1:99"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row>
    <row r="69" spans="1:99" x14ac:dyDescent="0.4">
      <c r="A69" s="2"/>
      <c r="B69" s="17" t="s">
        <v>103</v>
      </c>
      <c r="C69" s="111">
        <v>41.3</v>
      </c>
      <c r="D69" s="45">
        <v>41</v>
      </c>
      <c r="E69" s="45">
        <v>41.5</v>
      </c>
      <c r="F69" s="45">
        <v>40.9</v>
      </c>
      <c r="G69" s="45">
        <v>42.7</v>
      </c>
      <c r="H69" s="45">
        <v>40.700000000000003</v>
      </c>
      <c r="I69" s="45">
        <v>47</v>
      </c>
      <c r="J69" s="45">
        <v>47</v>
      </c>
      <c r="K69" s="45">
        <v>40.200000000000003</v>
      </c>
      <c r="L69" s="45">
        <v>55.4</v>
      </c>
      <c r="M69" s="45">
        <v>93.9</v>
      </c>
      <c r="N69" s="45">
        <v>45.4</v>
      </c>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row>
    <row r="70" spans="1:99" ht="25.65" x14ac:dyDescent="0.4">
      <c r="A70" s="2"/>
      <c r="B70" s="17" t="s">
        <v>627</v>
      </c>
      <c r="C70" s="111">
        <v>12119</v>
      </c>
      <c r="D70" s="111">
        <v>11797.9</v>
      </c>
      <c r="E70" s="45">
        <v>9282.2999999999993</v>
      </c>
      <c r="F70" s="45">
        <v>8597.75</v>
      </c>
      <c r="G70" s="45">
        <v>12246.7</v>
      </c>
      <c r="H70" s="45">
        <v>7511.1</v>
      </c>
      <c r="I70" s="45">
        <v>14690.7</v>
      </c>
      <c r="J70" s="45">
        <v>15431.75</v>
      </c>
      <c r="K70" s="45">
        <v>8055.8</v>
      </c>
      <c r="L70" s="45">
        <v>17464.75</v>
      </c>
      <c r="M70" s="45">
        <v>18604.45</v>
      </c>
      <c r="N70" s="45">
        <v>14151.4</v>
      </c>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row>
    <row r="71" spans="1:99" x14ac:dyDescent="0.4">
      <c r="A71" s="2"/>
      <c r="B71" s="401" t="s">
        <v>94</v>
      </c>
      <c r="C71" s="459"/>
      <c r="D71" s="459"/>
      <c r="E71" s="401"/>
      <c r="F71" s="401"/>
      <c r="G71" s="401"/>
      <c r="H71" s="401"/>
      <c r="I71" s="401"/>
      <c r="J71" s="401"/>
      <c r="K71" s="401"/>
      <c r="L71" s="401"/>
      <c r="M71" s="401"/>
      <c r="N71" s="401"/>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row>
    <row r="72" spans="1:99" x14ac:dyDescent="0.4">
      <c r="A72" s="2"/>
      <c r="B72" s="359" t="s">
        <v>63</v>
      </c>
      <c r="C72" s="359"/>
      <c r="D72" s="359"/>
      <c r="E72" s="359"/>
      <c r="F72" s="359"/>
      <c r="G72" s="359"/>
      <c r="H72" s="359"/>
      <c r="I72" s="359"/>
      <c r="J72" s="359"/>
      <c r="K72" s="359"/>
      <c r="L72" s="359"/>
      <c r="M72" s="359"/>
      <c r="N72" s="359"/>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row>
    <row r="73" spans="1:99" s="184" customFormat="1" x14ac:dyDescent="0.4">
      <c r="A73" s="1"/>
      <c r="B73" s="359" t="s">
        <v>64</v>
      </c>
      <c r="C73" s="359"/>
      <c r="D73" s="359"/>
      <c r="E73" s="359"/>
      <c r="F73" s="359"/>
      <c r="G73" s="359"/>
      <c r="H73" s="359"/>
      <c r="I73" s="359"/>
      <c r="J73" s="359"/>
      <c r="K73" s="359"/>
      <c r="L73" s="359"/>
      <c r="M73" s="359"/>
      <c r="N73" s="359"/>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row>
    <row r="74" spans="1:99" x14ac:dyDescent="0.4">
      <c r="A74" s="2"/>
      <c r="B74" s="359" t="s">
        <v>358</v>
      </c>
      <c r="C74" s="359"/>
      <c r="D74" s="359"/>
      <c r="E74" s="359"/>
      <c r="F74" s="359"/>
      <c r="G74" s="359"/>
      <c r="H74" s="359"/>
      <c r="I74" s="359"/>
      <c r="J74" s="359"/>
      <c r="K74" s="359"/>
      <c r="L74" s="359"/>
      <c r="M74" s="359"/>
      <c r="N74" s="359"/>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row>
    <row r="75" spans="1:99" x14ac:dyDescent="0.4">
      <c r="A75" s="2"/>
      <c r="B75" s="359" t="s">
        <v>65</v>
      </c>
      <c r="C75" s="359"/>
      <c r="D75" s="359"/>
      <c r="E75" s="359"/>
      <c r="F75" s="359"/>
      <c r="G75" s="359"/>
      <c r="H75" s="359"/>
      <c r="I75" s="359"/>
      <c r="J75" s="359"/>
      <c r="K75" s="359"/>
      <c r="L75" s="359"/>
      <c r="M75" s="359"/>
      <c r="N75" s="359"/>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row>
    <row r="76" spans="1:99" x14ac:dyDescent="0.4">
      <c r="A76" s="2"/>
      <c r="B76" s="49"/>
      <c r="C76" s="49"/>
      <c r="D76" s="49"/>
      <c r="E76" s="49"/>
      <c r="F76" s="49"/>
      <c r="G76" s="13"/>
      <c r="H76" s="13"/>
      <c r="I76" s="13"/>
      <c r="J76" s="13"/>
      <c r="K76" s="13"/>
      <c r="L76" s="13"/>
      <c r="M76" s="13"/>
      <c r="N76" s="13"/>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row>
    <row r="77" spans="1:99" x14ac:dyDescent="0.4">
      <c r="A77" s="9">
        <v>13</v>
      </c>
      <c r="B77" s="405" t="s">
        <v>66</v>
      </c>
      <c r="C77" s="406"/>
      <c r="D77" s="406"/>
      <c r="E77" s="406"/>
      <c r="F77" s="406"/>
      <c r="G77" s="376"/>
      <c r="H77" s="11"/>
      <c r="I77" s="11"/>
      <c r="J77" s="11"/>
      <c r="K77" s="11"/>
      <c r="L77" s="11"/>
      <c r="M77" s="11"/>
      <c r="N77" s="11"/>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row>
    <row r="78" spans="1:99" x14ac:dyDescent="0.4">
      <c r="A78" s="9"/>
      <c r="B78" s="8"/>
      <c r="C78" s="15"/>
      <c r="D78" s="15"/>
      <c r="E78" s="15"/>
      <c r="F78" s="15"/>
      <c r="G78" s="15"/>
      <c r="H78" s="15"/>
      <c r="I78" s="15"/>
      <c r="J78" s="15"/>
      <c r="K78" s="15"/>
      <c r="L78" s="15"/>
      <c r="M78" s="15"/>
      <c r="N78" s="15"/>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row>
    <row r="79" spans="1:99" ht="25.65" x14ac:dyDescent="0.4">
      <c r="A79" s="2"/>
      <c r="B79" s="50" t="s">
        <v>67</v>
      </c>
      <c r="C79" s="18" t="s">
        <v>68</v>
      </c>
      <c r="D79" s="18" t="s">
        <v>1127</v>
      </c>
      <c r="E79" s="18" t="s">
        <v>218</v>
      </c>
      <c r="F79" s="18" t="s">
        <v>71</v>
      </c>
      <c r="G79" s="18" t="s">
        <v>107</v>
      </c>
      <c r="H79" s="13"/>
      <c r="I79" s="13"/>
      <c r="J79" s="13"/>
      <c r="K79" s="13"/>
      <c r="L79" s="13"/>
      <c r="M79" s="13"/>
      <c r="N79" s="13"/>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row>
    <row r="80" spans="1:99" ht="13.25" customHeight="1" x14ac:dyDescent="0.35">
      <c r="A80" s="2"/>
      <c r="B80" s="394" t="s">
        <v>72</v>
      </c>
      <c r="C80" s="3" t="s">
        <v>780</v>
      </c>
      <c r="D80" s="65">
        <v>3.76</v>
      </c>
      <c r="E80" s="65">
        <v>1.88</v>
      </c>
      <c r="F80" s="65">
        <v>2.31</v>
      </c>
      <c r="G80" s="66">
        <v>2.69</v>
      </c>
      <c r="H80" s="53"/>
      <c r="I80" s="53"/>
      <c r="J80" s="53"/>
      <c r="K80" s="53"/>
      <c r="L80" s="53"/>
      <c r="M80" s="53"/>
      <c r="N80" s="53"/>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row>
    <row r="81" spans="1:99" x14ac:dyDescent="0.4">
      <c r="A81" s="2"/>
      <c r="B81" s="394"/>
      <c r="C81" s="3" t="s">
        <v>73</v>
      </c>
      <c r="D81" s="54"/>
      <c r="E81" s="54"/>
      <c r="F81" s="54"/>
      <c r="G81" s="66"/>
      <c r="H81" s="53"/>
      <c r="I81" s="53"/>
      <c r="J81" s="53"/>
      <c r="K81" s="53"/>
      <c r="L81" s="53"/>
      <c r="M81" s="53"/>
      <c r="N81" s="53"/>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row>
    <row r="82" spans="1:99" x14ac:dyDescent="0.4">
      <c r="A82" s="2"/>
      <c r="B82" s="394"/>
      <c r="C82" s="21" t="s">
        <v>779</v>
      </c>
      <c r="D82" s="54">
        <v>3.61</v>
      </c>
      <c r="E82" s="54">
        <v>0.92</v>
      </c>
      <c r="F82" s="54">
        <v>2</v>
      </c>
      <c r="G82" s="70">
        <v>1.7539415400589693</v>
      </c>
      <c r="H82" s="53"/>
      <c r="I82" s="53"/>
      <c r="J82" s="53"/>
      <c r="K82" s="53"/>
      <c r="L82" s="53"/>
      <c r="M82" s="53"/>
      <c r="N82" s="53"/>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row>
    <row r="83" spans="1:99" ht="26.5" x14ac:dyDescent="0.4">
      <c r="A83" s="2"/>
      <c r="B83" s="394"/>
      <c r="C83" s="21" t="s">
        <v>781</v>
      </c>
      <c r="D83" s="54">
        <v>2.87</v>
      </c>
      <c r="E83" s="54" t="s">
        <v>880</v>
      </c>
      <c r="F83" s="54" t="s">
        <v>880</v>
      </c>
      <c r="G83" s="70">
        <v>5.4204311414697566</v>
      </c>
      <c r="H83" s="53"/>
      <c r="I83" s="53"/>
      <c r="J83" s="53"/>
      <c r="K83" s="53"/>
      <c r="L83" s="53"/>
      <c r="M83" s="53"/>
      <c r="N83" s="53"/>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row>
    <row r="84" spans="1:99" ht="26.5" x14ac:dyDescent="0.4">
      <c r="A84" s="2"/>
      <c r="B84" s="394"/>
      <c r="C84" s="21" t="s">
        <v>782</v>
      </c>
      <c r="D84" s="54">
        <v>13.32</v>
      </c>
      <c r="E84" s="54">
        <v>11.6</v>
      </c>
      <c r="F84" s="54">
        <v>9.25</v>
      </c>
      <c r="G84" s="70">
        <v>11.627003107074049</v>
      </c>
      <c r="H84" s="53"/>
      <c r="I84" s="53"/>
      <c r="J84" s="53"/>
      <c r="K84" s="53"/>
      <c r="L84" s="53"/>
      <c r="M84" s="53"/>
      <c r="N84" s="53"/>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row>
    <row r="85" spans="1:99" x14ac:dyDescent="0.4">
      <c r="A85" s="2"/>
      <c r="B85" s="394"/>
      <c r="C85" s="3" t="s">
        <v>74</v>
      </c>
      <c r="D85" s="127">
        <f>AVERAGE(D82:D84)</f>
        <v>6.6000000000000005</v>
      </c>
      <c r="E85" s="127">
        <f>(E84+E82)/2</f>
        <v>6.26</v>
      </c>
      <c r="F85" s="127">
        <f>(F84+F82)/2</f>
        <v>5.625</v>
      </c>
      <c r="G85" s="130">
        <f>AVERAGE(G82:G84)</f>
        <v>6.2671252628675918</v>
      </c>
      <c r="H85" s="53"/>
      <c r="I85" s="53"/>
      <c r="J85" s="53"/>
      <c r="K85" s="53"/>
      <c r="L85" s="53"/>
      <c r="M85" s="53"/>
      <c r="N85" s="53"/>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row>
    <row r="86" spans="1:99" x14ac:dyDescent="0.35">
      <c r="A86" s="2"/>
      <c r="B86" s="394" t="s">
        <v>75</v>
      </c>
      <c r="C86" s="3" t="s">
        <v>780</v>
      </c>
      <c r="D86" s="77">
        <v>10.64</v>
      </c>
      <c r="E86" s="77">
        <f>F69/E80</f>
        <v>21.75531914893617</v>
      </c>
      <c r="F86" s="77">
        <f>I69/F80</f>
        <v>20.346320346320347</v>
      </c>
      <c r="G86" s="70">
        <f>L69/G80</f>
        <v>20.594795539033456</v>
      </c>
      <c r="H86" s="53"/>
      <c r="I86" s="53"/>
      <c r="J86" s="53"/>
      <c r="K86" s="53"/>
      <c r="L86" s="53"/>
      <c r="M86" s="53"/>
      <c r="N86" s="53"/>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row>
    <row r="87" spans="1:99" x14ac:dyDescent="0.4">
      <c r="A87" s="2"/>
      <c r="B87" s="394"/>
      <c r="C87" s="3" t="s">
        <v>73</v>
      </c>
      <c r="D87" s="54"/>
      <c r="E87" s="54"/>
      <c r="F87" s="54"/>
      <c r="G87" s="66"/>
      <c r="H87" s="53"/>
      <c r="I87" s="53"/>
      <c r="J87" s="53"/>
      <c r="K87" s="53"/>
      <c r="L87" s="53"/>
      <c r="M87" s="53"/>
      <c r="N87" s="53"/>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row>
    <row r="88" spans="1:99" x14ac:dyDescent="0.4">
      <c r="A88" s="2"/>
      <c r="B88" s="394"/>
      <c r="C88" s="21" t="s">
        <v>779</v>
      </c>
      <c r="D88" s="54">
        <v>5.68</v>
      </c>
      <c r="E88" s="54">
        <f>10.16/E82</f>
        <v>11.043478260869565</v>
      </c>
      <c r="F88" s="54">
        <f>19.9/F82</f>
        <v>9.9499999999999993</v>
      </c>
      <c r="G88" s="70">
        <v>16.3155731707317</v>
      </c>
      <c r="H88" s="53"/>
      <c r="I88" s="53"/>
      <c r="J88" s="53"/>
      <c r="K88" s="53"/>
      <c r="L88" s="53"/>
      <c r="M88" s="53"/>
      <c r="N88" s="53"/>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row>
    <row r="89" spans="1:99" ht="26.5" x14ac:dyDescent="0.4">
      <c r="A89" s="2"/>
      <c r="B89" s="394"/>
      <c r="C89" s="21" t="s">
        <v>781</v>
      </c>
      <c r="D89" s="54">
        <v>29.41</v>
      </c>
      <c r="E89" s="54" t="s">
        <v>880</v>
      </c>
      <c r="F89" s="54" t="s">
        <v>880</v>
      </c>
      <c r="G89" s="70">
        <v>19.3161964098372</v>
      </c>
      <c r="H89" s="53"/>
      <c r="I89" s="185"/>
      <c r="J89" s="53"/>
      <c r="K89" s="53"/>
      <c r="L89" s="53"/>
      <c r="M89" s="53"/>
      <c r="N89" s="53"/>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row>
    <row r="90" spans="1:99" ht="26.5" x14ac:dyDescent="0.4">
      <c r="A90" s="2"/>
      <c r="B90" s="394"/>
      <c r="C90" s="21" t="s">
        <v>782</v>
      </c>
      <c r="D90" s="54">
        <v>7.82</v>
      </c>
      <c r="E90" s="54">
        <f>73.9/E84</f>
        <v>6.3706896551724146</v>
      </c>
      <c r="F90" s="54">
        <f>136.7/F84</f>
        <v>14.778378378378378</v>
      </c>
      <c r="G90" s="70">
        <v>14.236586269555501</v>
      </c>
      <c r="H90" s="53"/>
      <c r="I90" s="53"/>
      <c r="J90" s="53"/>
      <c r="K90" s="53"/>
      <c r="L90" s="53"/>
      <c r="M90" s="53"/>
      <c r="N90" s="53"/>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row>
    <row r="91" spans="1:99" x14ac:dyDescent="0.4">
      <c r="A91" s="2"/>
      <c r="B91" s="394"/>
      <c r="C91" s="3" t="s">
        <v>74</v>
      </c>
      <c r="D91" s="127">
        <f>AVERAGE(D88:D90)</f>
        <v>14.303333333333335</v>
      </c>
      <c r="E91" s="127">
        <f>SUM(E90+E88)/2</f>
        <v>8.7070839580209896</v>
      </c>
      <c r="F91" s="127">
        <f>SUM(F90+F88)/2</f>
        <v>12.364189189189188</v>
      </c>
      <c r="G91" s="130">
        <f>AVERAGE(G88:G90)</f>
        <v>16.6227852833748</v>
      </c>
      <c r="H91" s="53"/>
      <c r="I91" s="53"/>
      <c r="J91" s="53"/>
      <c r="K91" s="53"/>
      <c r="L91" s="53"/>
      <c r="M91" s="53"/>
      <c r="N91" s="53"/>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row>
    <row r="92" spans="1:99" x14ac:dyDescent="0.35">
      <c r="A92" s="2"/>
      <c r="B92" s="394" t="s">
        <v>76</v>
      </c>
      <c r="C92" s="3" t="s">
        <v>780</v>
      </c>
      <c r="D92" s="65">
        <v>14.53</v>
      </c>
      <c r="E92" s="77">
        <f>C30/3438.18*100</f>
        <v>4.7219749984003165</v>
      </c>
      <c r="F92" s="77">
        <f>D30/3650.03*100</f>
        <v>6.5952882579047287</v>
      </c>
      <c r="G92" s="71">
        <f>280.52 /3901.66</f>
        <v>7.1897602558910825E-2</v>
      </c>
      <c r="H92" s="53"/>
      <c r="I92" s="53"/>
      <c r="J92" s="53"/>
      <c r="K92" s="53"/>
      <c r="L92" s="53"/>
      <c r="M92" s="53"/>
      <c r="N92" s="53"/>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row>
    <row r="93" spans="1:99" x14ac:dyDescent="0.4">
      <c r="A93" s="2"/>
      <c r="B93" s="394"/>
      <c r="C93" s="3" t="s">
        <v>73</v>
      </c>
      <c r="D93" s="54"/>
      <c r="E93" s="54"/>
      <c r="F93" s="54"/>
      <c r="G93" s="66"/>
      <c r="H93" s="53"/>
      <c r="I93" s="53"/>
      <c r="J93" s="53"/>
      <c r="K93" s="53"/>
      <c r="L93" s="53"/>
      <c r="M93" s="53"/>
      <c r="N93" s="53"/>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row>
    <row r="94" spans="1:99" x14ac:dyDescent="0.4">
      <c r="A94" s="2"/>
      <c r="B94" s="394"/>
      <c r="C94" s="21" t="s">
        <v>779</v>
      </c>
      <c r="D94" s="54">
        <v>12.04</v>
      </c>
      <c r="E94" s="54">
        <v>3.09</v>
      </c>
      <c r="F94" s="54">
        <v>6.26</v>
      </c>
      <c r="G94" s="70">
        <v>4.0864712057158403</v>
      </c>
      <c r="H94" s="53"/>
      <c r="I94" s="53"/>
      <c r="J94" s="53"/>
      <c r="K94" s="53"/>
      <c r="L94" s="53"/>
      <c r="M94" s="53"/>
      <c r="N94" s="53"/>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row>
    <row r="95" spans="1:99" ht="26.5" x14ac:dyDescent="0.4">
      <c r="A95" s="2"/>
      <c r="B95" s="394"/>
      <c r="C95" s="21" t="s">
        <v>781</v>
      </c>
      <c r="D95" s="54">
        <v>13.55</v>
      </c>
      <c r="E95" s="54" t="s">
        <v>880</v>
      </c>
      <c r="F95" s="54" t="s">
        <v>880</v>
      </c>
      <c r="G95" s="70">
        <v>12.2074372814208</v>
      </c>
      <c r="H95" s="53"/>
      <c r="I95" s="53"/>
      <c r="J95" s="53"/>
      <c r="K95" s="53"/>
      <c r="L95" s="53"/>
      <c r="M95" s="53"/>
      <c r="N95" s="53"/>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row>
    <row r="96" spans="1:99" ht="26.5" x14ac:dyDescent="0.4">
      <c r="A96" s="2"/>
      <c r="B96" s="394"/>
      <c r="C96" s="21" t="s">
        <v>782</v>
      </c>
      <c r="D96" s="54">
        <v>14.36</v>
      </c>
      <c r="E96" s="54">
        <v>11.66</v>
      </c>
      <c r="F96" s="54">
        <v>8.42</v>
      </c>
      <c r="G96" s="70">
        <v>8.8464128146180698</v>
      </c>
      <c r="H96" s="53"/>
      <c r="I96" s="53"/>
      <c r="J96" s="53"/>
      <c r="K96" s="53"/>
      <c r="L96" s="53"/>
      <c r="M96" s="53"/>
      <c r="N96" s="53"/>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row>
    <row r="97" spans="1:99" x14ac:dyDescent="0.4">
      <c r="A97" s="2"/>
      <c r="B97" s="394"/>
      <c r="C97" s="3" t="s">
        <v>74</v>
      </c>
      <c r="D97" s="76">
        <f>AVERAGE(D94:D96)</f>
        <v>13.316666666666668</v>
      </c>
      <c r="E97" s="127">
        <f>(E96+E94)/2</f>
        <v>7.375</v>
      </c>
      <c r="F97" s="127">
        <f>SUM(F96+F94)/2</f>
        <v>7.34</v>
      </c>
      <c r="G97" s="70">
        <f>AVERAGE(G94:G96)</f>
        <v>8.3801071005849028</v>
      </c>
      <c r="H97" s="53"/>
      <c r="I97" s="53"/>
      <c r="J97" s="53"/>
      <c r="K97" s="57"/>
      <c r="L97" s="53"/>
      <c r="M97" s="53"/>
      <c r="N97" s="53"/>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row>
    <row r="98" spans="1:99" x14ac:dyDescent="0.3">
      <c r="A98" s="2"/>
      <c r="B98" s="394" t="s">
        <v>77</v>
      </c>
      <c r="C98" s="3" t="s">
        <v>780</v>
      </c>
      <c r="D98" s="225">
        <v>25.86</v>
      </c>
      <c r="E98" s="226">
        <f>3438.18/104.241</f>
        <v>32.982991337381641</v>
      </c>
      <c r="F98" s="226">
        <f>3650.03/104.241</f>
        <v>35.015301081148493</v>
      </c>
      <c r="G98" s="130">
        <f>3901.66*100000/10424110</f>
        <v>37.429190597566603</v>
      </c>
      <c r="H98" s="53"/>
      <c r="I98" s="53"/>
      <c r="J98" s="53"/>
      <c r="K98" s="53"/>
      <c r="L98" s="53"/>
      <c r="M98" s="53"/>
      <c r="N98" s="53"/>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row>
    <row r="99" spans="1:99" x14ac:dyDescent="0.4">
      <c r="A99" s="2"/>
      <c r="B99" s="394"/>
      <c r="C99" s="3" t="s">
        <v>73</v>
      </c>
      <c r="D99" s="54"/>
      <c r="E99" s="54"/>
      <c r="F99" s="54"/>
      <c r="G99" s="66"/>
      <c r="H99" s="53"/>
      <c r="I99" s="53"/>
      <c r="J99" s="53"/>
      <c r="K99" s="53"/>
      <c r="L99" s="53"/>
      <c r="M99" s="53"/>
      <c r="N99" s="53"/>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row>
    <row r="100" spans="1:99" x14ac:dyDescent="0.4">
      <c r="A100" s="2"/>
      <c r="B100" s="411"/>
      <c r="C100" s="21" t="s">
        <v>779</v>
      </c>
      <c r="D100" s="54">
        <v>30.55</v>
      </c>
      <c r="E100" s="54">
        <v>29.92</v>
      </c>
      <c r="F100" s="54">
        <v>31.92</v>
      </c>
      <c r="G100" s="70">
        <v>32.563597715673886</v>
      </c>
      <c r="H100" s="53"/>
      <c r="I100" s="53"/>
      <c r="J100" s="53"/>
      <c r="K100" s="53"/>
      <c r="L100" s="53"/>
      <c r="M100" s="53"/>
      <c r="N100" s="53"/>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row>
    <row r="101" spans="1:99" ht="26.5" x14ac:dyDescent="0.4">
      <c r="A101" s="2"/>
      <c r="B101" s="411"/>
      <c r="C101" s="21" t="s">
        <v>781</v>
      </c>
      <c r="D101" s="54">
        <v>20.83</v>
      </c>
      <c r="E101" s="54" t="s">
        <v>880</v>
      </c>
      <c r="F101" s="54" t="s">
        <v>880</v>
      </c>
      <c r="G101" s="70">
        <v>40.817836634589817</v>
      </c>
      <c r="H101" s="53"/>
      <c r="I101" s="53"/>
      <c r="J101" s="53"/>
      <c r="K101" s="53"/>
      <c r="L101" s="53"/>
      <c r="M101" s="53"/>
      <c r="N101" s="53"/>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row>
    <row r="102" spans="1:99" ht="26.5" x14ac:dyDescent="0.4">
      <c r="A102" s="2"/>
      <c r="B102" s="411"/>
      <c r="C102" s="21" t="s">
        <v>782</v>
      </c>
      <c r="D102" s="54">
        <v>92.57</v>
      </c>
      <c r="E102" s="54">
        <v>99.3</v>
      </c>
      <c r="F102" s="54">
        <v>109.93</v>
      </c>
      <c r="G102" s="70">
        <v>35.648186898039064</v>
      </c>
      <c r="H102" s="53"/>
      <c r="I102" s="53"/>
      <c r="J102" s="53"/>
      <c r="K102" s="53"/>
      <c r="L102" s="53"/>
      <c r="M102" s="53"/>
      <c r="N102" s="53"/>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row>
    <row r="103" spans="1:99" x14ac:dyDescent="0.4">
      <c r="A103" s="2"/>
      <c r="B103" s="411"/>
      <c r="C103" s="3" t="s">
        <v>74</v>
      </c>
      <c r="D103" s="127">
        <f>AVERAGE(D100:D102)</f>
        <v>47.983333333333327</v>
      </c>
      <c r="E103" s="127">
        <f>SUM(E102+E100)/2</f>
        <v>64.61</v>
      </c>
      <c r="F103" s="127">
        <f>SUM(F102+F100)/2</f>
        <v>70.925000000000011</v>
      </c>
      <c r="G103" s="222">
        <f>AVERAGE(G100:G102)</f>
        <v>36.343207082767584</v>
      </c>
      <c r="H103" s="53"/>
      <c r="I103" s="53"/>
      <c r="J103" s="53"/>
      <c r="K103" s="53"/>
      <c r="L103" s="53"/>
      <c r="M103" s="53"/>
      <c r="N103" s="53"/>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row>
    <row r="104" spans="1:99" s="184" customFormat="1" x14ac:dyDescent="0.4">
      <c r="A104" s="1"/>
      <c r="B104" s="412"/>
      <c r="C104" s="413"/>
      <c r="D104" s="413"/>
      <c r="E104" s="413"/>
      <c r="F104" s="413"/>
      <c r="G104" s="414"/>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row>
    <row r="105" spans="1:99" x14ac:dyDescent="0.4">
      <c r="A105" s="2"/>
      <c r="B105" s="415" t="s">
        <v>783</v>
      </c>
      <c r="C105" s="416"/>
      <c r="D105" s="416"/>
      <c r="E105" s="416"/>
      <c r="F105" s="416"/>
      <c r="G105" s="417"/>
      <c r="H105" s="53"/>
      <c r="I105" s="53"/>
      <c r="J105" s="53"/>
      <c r="K105" s="53"/>
      <c r="L105" s="53"/>
      <c r="M105" s="53"/>
      <c r="N105" s="53"/>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row>
    <row r="106" spans="1:99" x14ac:dyDescent="0.4">
      <c r="A106" s="2"/>
      <c r="B106" s="418" t="s">
        <v>85</v>
      </c>
      <c r="C106" s="419"/>
      <c r="D106" s="419"/>
      <c r="E106" s="419"/>
      <c r="F106" s="419"/>
      <c r="G106" s="420"/>
      <c r="H106" s="53"/>
      <c r="I106" s="53"/>
      <c r="J106" s="53"/>
      <c r="K106" s="53"/>
      <c r="L106" s="53"/>
      <c r="M106" s="53"/>
      <c r="N106" s="53"/>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row>
    <row r="107" spans="1:99" x14ac:dyDescent="0.4">
      <c r="A107" s="2"/>
      <c r="B107" s="363"/>
      <c r="C107" s="368"/>
      <c r="D107" s="368"/>
      <c r="E107" s="368"/>
      <c r="F107" s="368"/>
      <c r="G107" s="369"/>
      <c r="H107" s="53"/>
      <c r="I107" s="53"/>
      <c r="J107" s="53"/>
      <c r="K107" s="53"/>
      <c r="L107" s="53"/>
      <c r="M107" s="53"/>
      <c r="N107" s="53"/>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row>
    <row r="108" spans="1:99" x14ac:dyDescent="0.4">
      <c r="A108" s="8"/>
      <c r="B108" s="8"/>
      <c r="C108" s="407"/>
      <c r="D108" s="407"/>
      <c r="E108" s="407"/>
      <c r="F108" s="407"/>
      <c r="G108" s="407"/>
      <c r="H108" s="53"/>
      <c r="I108" s="53"/>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row>
    <row r="109" spans="1:99" x14ac:dyDescent="0.4">
      <c r="A109" s="9">
        <v>14</v>
      </c>
      <c r="B109" s="61" t="s">
        <v>78</v>
      </c>
      <c r="C109" s="356" t="s">
        <v>41</v>
      </c>
      <c r="D109" s="357"/>
      <c r="E109" s="357"/>
      <c r="F109" s="357"/>
      <c r="G109" s="40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row>
    <row r="110" spans="1:99" x14ac:dyDescent="0.4">
      <c r="A110" s="23"/>
      <c r="B110" s="8"/>
      <c r="C110" s="69"/>
      <c r="D110" s="69"/>
      <c r="E110" s="69"/>
      <c r="F110" s="69"/>
      <c r="G110" s="69"/>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row>
    <row r="111" spans="1:99" x14ac:dyDescent="0.4">
      <c r="A111" s="8"/>
      <c r="B111" s="8"/>
      <c r="C111" s="69"/>
      <c r="D111" s="69"/>
      <c r="E111" s="69"/>
      <c r="F111" s="69"/>
      <c r="G111" s="69"/>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row>
    <row r="112" spans="1:99" x14ac:dyDescent="0.4">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row>
    <row r="113" spans="1:99" x14ac:dyDescent="0.4">
      <c r="A113" s="8"/>
      <c r="B113" s="409" t="s">
        <v>774</v>
      </c>
      <c r="C113" s="410"/>
      <c r="D113" s="410"/>
      <c r="E113" s="410"/>
      <c r="F113" s="410"/>
      <c r="G113" s="410"/>
      <c r="H113" s="410"/>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row>
    <row r="114" spans="1:99" x14ac:dyDescent="0.4">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row>
    <row r="115" spans="1:99" x14ac:dyDescent="0.4">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row>
    <row r="116" spans="1:99" x14ac:dyDescent="0.4">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row>
    <row r="117" spans="1:99" x14ac:dyDescent="0.4">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row>
    <row r="118" spans="1:99" x14ac:dyDescent="0.4">
      <c r="A118" s="8"/>
      <c r="B118" s="8"/>
      <c r="C118" s="8"/>
      <c r="D118" s="107"/>
      <c r="E118" s="107"/>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row>
    <row r="119" spans="1:99" x14ac:dyDescent="0.4">
      <c r="A119" s="8"/>
      <c r="B119" s="8"/>
      <c r="C119" s="230"/>
      <c r="D119" s="230"/>
      <c r="E119" s="107"/>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row>
    <row r="120" spans="1:99" x14ac:dyDescent="0.4">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row>
    <row r="121" spans="1:99" x14ac:dyDescent="0.4">
      <c r="A121" s="8"/>
      <c r="B121" s="8"/>
      <c r="C121" s="230"/>
      <c r="D121" s="230"/>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row>
    <row r="122" spans="1:99" x14ac:dyDescent="0.4">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row>
    <row r="123" spans="1:99" x14ac:dyDescent="0.4">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row>
    <row r="124" spans="1:99" x14ac:dyDescent="0.4">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row>
    <row r="125" spans="1:99" x14ac:dyDescent="0.4">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row>
    <row r="126" spans="1:99" x14ac:dyDescent="0.4">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row>
    <row r="127" spans="1:99" x14ac:dyDescent="0.4">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row>
    <row r="128" spans="1:99" x14ac:dyDescent="0.4">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row>
    <row r="129" spans="1:99" x14ac:dyDescent="0.4">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row>
    <row r="130" spans="1:99" x14ac:dyDescent="0.4">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row>
    <row r="131" spans="1:99" x14ac:dyDescent="0.4">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row>
    <row r="132" spans="1:99" x14ac:dyDescent="0.4">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row>
    <row r="133" spans="1:99" x14ac:dyDescent="0.4">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row>
    <row r="134" spans="1:99" x14ac:dyDescent="0.4">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row>
    <row r="135" spans="1:99" x14ac:dyDescent="0.4">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row>
    <row r="136" spans="1:99" x14ac:dyDescent="0.4">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row>
    <row r="137" spans="1:99" x14ac:dyDescent="0.4">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row>
    <row r="138" spans="1:99" x14ac:dyDescent="0.4">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row>
    <row r="139" spans="1:99" x14ac:dyDescent="0.4">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row>
    <row r="140" spans="1:99" x14ac:dyDescent="0.4">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row>
    <row r="141" spans="1:99" x14ac:dyDescent="0.4">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row>
    <row r="142" spans="1:99" x14ac:dyDescent="0.4">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row>
    <row r="143" spans="1:99" x14ac:dyDescent="0.4">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row>
    <row r="144" spans="1:99" x14ac:dyDescent="0.4">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row>
    <row r="145" spans="1:99" x14ac:dyDescent="0.4">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row>
    <row r="146" spans="1:99" x14ac:dyDescent="0.4">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row>
    <row r="147" spans="1:99" x14ac:dyDescent="0.4">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row>
    <row r="148" spans="1:99" x14ac:dyDescent="0.4">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row>
    <row r="149" spans="1:99" x14ac:dyDescent="0.4">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row>
    <row r="150" spans="1:99" x14ac:dyDescent="0.4">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row>
    <row r="151" spans="1:99" x14ac:dyDescent="0.4">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row>
    <row r="152" spans="1:99" x14ac:dyDescent="0.4">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row>
    <row r="153" spans="1:99" x14ac:dyDescent="0.4">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row>
    <row r="154" spans="1:99" x14ac:dyDescent="0.4">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row>
    <row r="155" spans="1:99" x14ac:dyDescent="0.4">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row>
    <row r="156" spans="1:99" x14ac:dyDescent="0.4">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row>
    <row r="157" spans="1:99" x14ac:dyDescent="0.4">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row>
    <row r="158" spans="1:99"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row>
    <row r="159" spans="1:99" x14ac:dyDescent="0.4">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row>
    <row r="160" spans="1:99" x14ac:dyDescent="0.4">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row>
    <row r="161" spans="1:99" x14ac:dyDescent="0.4">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row>
    <row r="162" spans="1:99" x14ac:dyDescent="0.4">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row>
    <row r="163" spans="1:99" x14ac:dyDescent="0.4">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row>
    <row r="164" spans="1:99" x14ac:dyDescent="0.4">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row>
    <row r="165" spans="1:99" x14ac:dyDescent="0.4">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row>
    <row r="166" spans="1:99" x14ac:dyDescent="0.4">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row>
    <row r="167" spans="1:99" x14ac:dyDescent="0.4">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row>
    <row r="168" spans="1:99" x14ac:dyDescent="0.4">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row>
    <row r="169" spans="1:99" x14ac:dyDescent="0.4">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row>
    <row r="170" spans="1:99" x14ac:dyDescent="0.4">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row>
    <row r="171" spans="1:99" x14ac:dyDescent="0.4">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row>
    <row r="172" spans="1:99" x14ac:dyDescent="0.4">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row>
    <row r="173" spans="1:99" x14ac:dyDescent="0.4">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row>
    <row r="174" spans="1:99" x14ac:dyDescent="0.4">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row>
    <row r="175" spans="1:99" x14ac:dyDescent="0.4">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row>
    <row r="176" spans="1:99" x14ac:dyDescent="0.4">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row>
    <row r="177" spans="1:99" x14ac:dyDescent="0.4">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row>
    <row r="178" spans="1:99" x14ac:dyDescent="0.4">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row>
    <row r="179" spans="1:99" x14ac:dyDescent="0.4">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row>
    <row r="180" spans="1:99" x14ac:dyDescent="0.4">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row>
    <row r="181" spans="1:99" x14ac:dyDescent="0.4">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row>
    <row r="182" spans="1:99" x14ac:dyDescent="0.4">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row>
    <row r="183" spans="1:99" x14ac:dyDescent="0.4">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row>
    <row r="184" spans="1:99" x14ac:dyDescent="0.4">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row>
    <row r="185" spans="1:99" x14ac:dyDescent="0.4">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row>
    <row r="186" spans="1:99" x14ac:dyDescent="0.4">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row>
    <row r="187" spans="1:99" x14ac:dyDescent="0.4">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row>
    <row r="188" spans="1:99" x14ac:dyDescent="0.4">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row>
    <row r="189" spans="1:99" x14ac:dyDescent="0.4">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row>
    <row r="190" spans="1:99" x14ac:dyDescent="0.4">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row>
    <row r="191" spans="1:99" x14ac:dyDescent="0.4">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row>
    <row r="192" spans="1:99" x14ac:dyDescent="0.4">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row>
    <row r="193" spans="1:99" x14ac:dyDescent="0.4">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row>
    <row r="194" spans="1:99" x14ac:dyDescent="0.4">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row>
    <row r="195" spans="1:99" x14ac:dyDescent="0.4">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row>
    <row r="196" spans="1:99" x14ac:dyDescent="0.4">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row>
    <row r="197" spans="1:99" x14ac:dyDescent="0.4">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row>
    <row r="198" spans="1:99" x14ac:dyDescent="0.4">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row>
    <row r="199" spans="1:99" x14ac:dyDescent="0.4">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row>
    <row r="200" spans="1:99" x14ac:dyDescent="0.4">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row>
    <row r="201" spans="1:99" x14ac:dyDescent="0.4">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row>
    <row r="202" spans="1:99" x14ac:dyDescent="0.4">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row>
    <row r="203" spans="1:99" x14ac:dyDescent="0.4">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row>
    <row r="204" spans="1:99" x14ac:dyDescent="0.4">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row>
    <row r="205" spans="1:99" x14ac:dyDescent="0.4">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row>
    <row r="206" spans="1:99" x14ac:dyDescent="0.4">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c r="BY206" s="8"/>
      <c r="BZ206" s="8"/>
      <c r="CA206" s="8"/>
      <c r="CB206" s="8"/>
      <c r="CC206" s="8"/>
      <c r="CD206" s="8"/>
      <c r="CE206" s="8"/>
      <c r="CF206" s="8"/>
      <c r="CG206" s="8"/>
      <c r="CH206" s="8"/>
      <c r="CI206" s="8"/>
      <c r="CJ206" s="8"/>
      <c r="CK206" s="8"/>
      <c r="CL206" s="8"/>
      <c r="CM206" s="8"/>
      <c r="CN206" s="8"/>
      <c r="CO206" s="8"/>
      <c r="CP206" s="8"/>
      <c r="CQ206" s="8"/>
      <c r="CR206" s="8"/>
      <c r="CS206" s="8"/>
      <c r="CT206" s="8"/>
      <c r="CU206" s="8"/>
    </row>
    <row r="207" spans="1:99" x14ac:dyDescent="0.4">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c r="BY207" s="8"/>
      <c r="BZ207" s="8"/>
      <c r="CA207" s="8"/>
      <c r="CB207" s="8"/>
      <c r="CC207" s="8"/>
      <c r="CD207" s="8"/>
      <c r="CE207" s="8"/>
      <c r="CF207" s="8"/>
      <c r="CG207" s="8"/>
      <c r="CH207" s="8"/>
      <c r="CI207" s="8"/>
      <c r="CJ207" s="8"/>
      <c r="CK207" s="8"/>
      <c r="CL207" s="8"/>
      <c r="CM207" s="8"/>
      <c r="CN207" s="8"/>
      <c r="CO207" s="8"/>
      <c r="CP207" s="8"/>
      <c r="CQ207" s="8"/>
      <c r="CR207" s="8"/>
      <c r="CS207" s="8"/>
      <c r="CT207" s="8"/>
      <c r="CU207" s="8"/>
    </row>
    <row r="208" spans="1:99" x14ac:dyDescent="0.4">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c r="CG208" s="8"/>
      <c r="CH208" s="8"/>
      <c r="CI208" s="8"/>
      <c r="CJ208" s="8"/>
      <c r="CK208" s="8"/>
      <c r="CL208" s="8"/>
      <c r="CM208" s="8"/>
      <c r="CN208" s="8"/>
      <c r="CO208" s="8"/>
      <c r="CP208" s="8"/>
      <c r="CQ208" s="8"/>
      <c r="CR208" s="8"/>
      <c r="CS208" s="8"/>
      <c r="CT208" s="8"/>
      <c r="CU208" s="8"/>
    </row>
    <row r="209" spans="1:99"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c r="CG209" s="8"/>
      <c r="CH209" s="8"/>
      <c r="CI209" s="8"/>
      <c r="CJ209" s="8"/>
      <c r="CK209" s="8"/>
      <c r="CL209" s="8"/>
      <c r="CM209" s="8"/>
      <c r="CN209" s="8"/>
      <c r="CO209" s="8"/>
      <c r="CP209" s="8"/>
      <c r="CQ209" s="8"/>
      <c r="CR209" s="8"/>
      <c r="CS209" s="8"/>
      <c r="CT209" s="8"/>
      <c r="CU209" s="8"/>
    </row>
    <row r="210" spans="1:99"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c r="CG210" s="8"/>
      <c r="CH210" s="8"/>
      <c r="CI210" s="8"/>
      <c r="CJ210" s="8"/>
      <c r="CK210" s="8"/>
      <c r="CL210" s="8"/>
      <c r="CM210" s="8"/>
      <c r="CN210" s="8"/>
      <c r="CO210" s="8"/>
      <c r="CP210" s="8"/>
      <c r="CQ210" s="8"/>
      <c r="CR210" s="8"/>
      <c r="CS210" s="8"/>
      <c r="CT210" s="8"/>
      <c r="CU210" s="8"/>
    </row>
    <row r="211" spans="1:99"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c r="BY211" s="8"/>
      <c r="BZ211" s="8"/>
      <c r="CA211" s="8"/>
      <c r="CB211" s="8"/>
      <c r="CC211" s="8"/>
      <c r="CD211" s="8"/>
      <c r="CE211" s="8"/>
      <c r="CF211" s="8"/>
      <c r="CG211" s="8"/>
      <c r="CH211" s="8"/>
      <c r="CI211" s="8"/>
      <c r="CJ211" s="8"/>
      <c r="CK211" s="8"/>
      <c r="CL211" s="8"/>
      <c r="CM211" s="8"/>
      <c r="CN211" s="8"/>
      <c r="CO211" s="8"/>
      <c r="CP211" s="8"/>
      <c r="CQ211" s="8"/>
      <c r="CR211" s="8"/>
      <c r="CS211" s="8"/>
      <c r="CT211" s="8"/>
      <c r="CU211" s="8"/>
    </row>
    <row r="212" spans="1:99"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c r="BY212" s="8"/>
      <c r="BZ212" s="8"/>
      <c r="CA212" s="8"/>
      <c r="CB212" s="8"/>
      <c r="CC212" s="8"/>
      <c r="CD212" s="8"/>
      <c r="CE212" s="8"/>
      <c r="CF212" s="8"/>
      <c r="CG212" s="8"/>
      <c r="CH212" s="8"/>
      <c r="CI212" s="8"/>
      <c r="CJ212" s="8"/>
      <c r="CK212" s="8"/>
      <c r="CL212" s="8"/>
      <c r="CM212" s="8"/>
      <c r="CN212" s="8"/>
      <c r="CO212" s="8"/>
      <c r="CP212" s="8"/>
      <c r="CQ212" s="8"/>
      <c r="CR212" s="8"/>
      <c r="CS212" s="8"/>
      <c r="CT212" s="8"/>
      <c r="CU212" s="8"/>
    </row>
    <row r="213" spans="1:99"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8"/>
      <c r="CL213" s="8"/>
      <c r="CM213" s="8"/>
      <c r="CN213" s="8"/>
      <c r="CO213" s="8"/>
      <c r="CP213" s="8"/>
      <c r="CQ213" s="8"/>
      <c r="CR213" s="8"/>
      <c r="CS213" s="8"/>
      <c r="CT213" s="8"/>
      <c r="CU213" s="8"/>
    </row>
    <row r="214" spans="1:99" x14ac:dyDescent="0.4">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c r="BY214" s="8"/>
      <c r="BZ214" s="8"/>
      <c r="CA214" s="8"/>
      <c r="CB214" s="8"/>
      <c r="CC214" s="8"/>
      <c r="CD214" s="8"/>
      <c r="CE214" s="8"/>
      <c r="CF214" s="8"/>
      <c r="CG214" s="8"/>
      <c r="CH214" s="8"/>
      <c r="CI214" s="8"/>
      <c r="CJ214" s="8"/>
      <c r="CK214" s="8"/>
      <c r="CL214" s="8"/>
      <c r="CM214" s="8"/>
      <c r="CN214" s="8"/>
      <c r="CO214" s="8"/>
      <c r="CP214" s="8"/>
      <c r="CQ214" s="8"/>
      <c r="CR214" s="8"/>
      <c r="CS214" s="8"/>
      <c r="CT214" s="8"/>
      <c r="CU214" s="8"/>
    </row>
    <row r="215" spans="1:99" x14ac:dyDescent="0.4">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c r="CG215" s="8"/>
      <c r="CH215" s="8"/>
      <c r="CI215" s="8"/>
      <c r="CJ215" s="8"/>
      <c r="CK215" s="8"/>
      <c r="CL215" s="8"/>
      <c r="CM215" s="8"/>
      <c r="CN215" s="8"/>
      <c r="CO215" s="8"/>
      <c r="CP215" s="8"/>
      <c r="CQ215" s="8"/>
      <c r="CR215" s="8"/>
      <c r="CS215" s="8"/>
      <c r="CT215" s="8"/>
      <c r="CU215" s="8"/>
    </row>
    <row r="216" spans="1:99" x14ac:dyDescent="0.4">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c r="CH216" s="8"/>
      <c r="CI216" s="8"/>
      <c r="CJ216" s="8"/>
      <c r="CK216" s="8"/>
      <c r="CL216" s="8"/>
      <c r="CM216" s="8"/>
      <c r="CN216" s="8"/>
      <c r="CO216" s="8"/>
      <c r="CP216" s="8"/>
      <c r="CQ216" s="8"/>
      <c r="CR216" s="8"/>
      <c r="CS216" s="8"/>
      <c r="CT216" s="8"/>
      <c r="CU216" s="8"/>
    </row>
    <row r="217" spans="1:99" x14ac:dyDescent="0.4">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c r="BY217" s="8"/>
      <c r="BZ217" s="8"/>
      <c r="CA217" s="8"/>
      <c r="CB217" s="8"/>
      <c r="CC217" s="8"/>
      <c r="CD217" s="8"/>
      <c r="CE217" s="8"/>
      <c r="CF217" s="8"/>
      <c r="CG217" s="8"/>
      <c r="CH217" s="8"/>
      <c r="CI217" s="8"/>
      <c r="CJ217" s="8"/>
      <c r="CK217" s="8"/>
      <c r="CL217" s="8"/>
      <c r="CM217" s="8"/>
      <c r="CN217" s="8"/>
      <c r="CO217" s="8"/>
      <c r="CP217" s="8"/>
      <c r="CQ217" s="8"/>
      <c r="CR217" s="8"/>
      <c r="CS217" s="8"/>
      <c r="CT217" s="8"/>
      <c r="CU217" s="8"/>
    </row>
    <row r="218" spans="1:99" x14ac:dyDescent="0.4">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c r="BY218" s="8"/>
      <c r="BZ218" s="8"/>
      <c r="CA218" s="8"/>
      <c r="CB218" s="8"/>
      <c r="CC218" s="8"/>
      <c r="CD218" s="8"/>
      <c r="CE218" s="8"/>
      <c r="CF218" s="8"/>
      <c r="CG218" s="8"/>
      <c r="CH218" s="8"/>
      <c r="CI218" s="8"/>
      <c r="CJ218" s="8"/>
      <c r="CK218" s="8"/>
      <c r="CL218" s="8"/>
      <c r="CM218" s="8"/>
      <c r="CN218" s="8"/>
      <c r="CO218" s="8"/>
      <c r="CP218" s="8"/>
      <c r="CQ218" s="8"/>
      <c r="CR218" s="8"/>
      <c r="CS218" s="8"/>
      <c r="CT218" s="8"/>
      <c r="CU218" s="8"/>
    </row>
    <row r="219" spans="1:99" x14ac:dyDescent="0.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c r="CG219" s="8"/>
      <c r="CH219" s="8"/>
      <c r="CI219" s="8"/>
      <c r="CJ219" s="8"/>
      <c r="CK219" s="8"/>
      <c r="CL219" s="8"/>
      <c r="CM219" s="8"/>
      <c r="CN219" s="8"/>
      <c r="CO219" s="8"/>
      <c r="CP219" s="8"/>
      <c r="CQ219" s="8"/>
      <c r="CR219" s="8"/>
      <c r="CS219" s="8"/>
      <c r="CT219" s="8"/>
      <c r="CU219" s="8"/>
    </row>
    <row r="220" spans="1:99" x14ac:dyDescent="0.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c r="CG220" s="8"/>
      <c r="CH220" s="8"/>
      <c r="CI220" s="8"/>
      <c r="CJ220" s="8"/>
      <c r="CK220" s="8"/>
      <c r="CL220" s="8"/>
      <c r="CM220" s="8"/>
      <c r="CN220" s="8"/>
      <c r="CO220" s="8"/>
      <c r="CP220" s="8"/>
      <c r="CQ220" s="8"/>
      <c r="CR220" s="8"/>
      <c r="CS220" s="8"/>
      <c r="CT220" s="8"/>
      <c r="CU220" s="8"/>
    </row>
    <row r="221" spans="1:99" x14ac:dyDescent="0.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c r="CG221" s="8"/>
      <c r="CH221" s="8"/>
      <c r="CI221" s="8"/>
      <c r="CJ221" s="8"/>
      <c r="CK221" s="8"/>
      <c r="CL221" s="8"/>
      <c r="CM221" s="8"/>
      <c r="CN221" s="8"/>
      <c r="CO221" s="8"/>
      <c r="CP221" s="8"/>
      <c r="CQ221" s="8"/>
      <c r="CR221" s="8"/>
      <c r="CS221" s="8"/>
      <c r="CT221" s="8"/>
      <c r="CU221" s="8"/>
    </row>
    <row r="222" spans="1:99" x14ac:dyDescent="0.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c r="CG222" s="8"/>
      <c r="CH222" s="8"/>
      <c r="CI222" s="8"/>
      <c r="CJ222" s="8"/>
      <c r="CK222" s="8"/>
      <c r="CL222" s="8"/>
      <c r="CM222" s="8"/>
      <c r="CN222" s="8"/>
      <c r="CO222" s="8"/>
      <c r="CP222" s="8"/>
      <c r="CQ222" s="8"/>
      <c r="CR222" s="8"/>
      <c r="CS222" s="8"/>
      <c r="CT222" s="8"/>
      <c r="CU222" s="8"/>
    </row>
    <row r="223" spans="1:99" x14ac:dyDescent="0.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c r="BY223" s="8"/>
      <c r="BZ223" s="8"/>
      <c r="CA223" s="8"/>
      <c r="CB223" s="8"/>
      <c r="CC223" s="8"/>
      <c r="CD223" s="8"/>
      <c r="CE223" s="8"/>
      <c r="CF223" s="8"/>
      <c r="CG223" s="8"/>
      <c r="CH223" s="8"/>
      <c r="CI223" s="8"/>
      <c r="CJ223" s="8"/>
      <c r="CK223" s="8"/>
      <c r="CL223" s="8"/>
      <c r="CM223" s="8"/>
      <c r="CN223" s="8"/>
      <c r="CO223" s="8"/>
      <c r="CP223" s="8"/>
      <c r="CQ223" s="8"/>
      <c r="CR223" s="8"/>
      <c r="CS223" s="8"/>
      <c r="CT223" s="8"/>
      <c r="CU223" s="8"/>
    </row>
    <row r="224" spans="1:99"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row>
    <row r="225" spans="1:99" x14ac:dyDescent="0.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c r="BY225" s="8"/>
      <c r="BZ225" s="8"/>
      <c r="CA225" s="8"/>
      <c r="CB225" s="8"/>
      <c r="CC225" s="8"/>
      <c r="CD225" s="8"/>
      <c r="CE225" s="8"/>
      <c r="CF225" s="8"/>
      <c r="CG225" s="8"/>
      <c r="CH225" s="8"/>
      <c r="CI225" s="8"/>
      <c r="CJ225" s="8"/>
      <c r="CK225" s="8"/>
      <c r="CL225" s="8"/>
      <c r="CM225" s="8"/>
      <c r="CN225" s="8"/>
      <c r="CO225" s="8"/>
      <c r="CP225" s="8"/>
      <c r="CQ225" s="8"/>
      <c r="CR225" s="8"/>
      <c r="CS225" s="8"/>
      <c r="CT225" s="8"/>
      <c r="CU225" s="8"/>
    </row>
    <row r="226" spans="1:99" x14ac:dyDescent="0.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c r="BB226" s="8"/>
      <c r="BC226" s="8"/>
      <c r="BD226" s="8"/>
      <c r="BE226" s="8"/>
      <c r="BF226" s="8"/>
      <c r="BG226" s="8"/>
      <c r="BH226" s="8"/>
      <c r="BI226" s="8"/>
      <c r="BJ226" s="8"/>
      <c r="BK226" s="8"/>
      <c r="BL226" s="8"/>
      <c r="BM226" s="8"/>
      <c r="BN226" s="8"/>
      <c r="BO226" s="8"/>
      <c r="BP226" s="8"/>
      <c r="BQ226" s="8"/>
      <c r="BR226" s="8"/>
      <c r="BS226" s="8"/>
      <c r="BT226" s="8"/>
      <c r="BU226" s="8"/>
      <c r="BV226" s="8"/>
      <c r="BW226" s="8"/>
      <c r="BX226" s="8"/>
      <c r="BY226" s="8"/>
      <c r="BZ226" s="8"/>
      <c r="CA226" s="8"/>
      <c r="CB226" s="8"/>
      <c r="CC226" s="8"/>
      <c r="CD226" s="8"/>
      <c r="CE226" s="8"/>
      <c r="CF226" s="8"/>
      <c r="CG226" s="8"/>
      <c r="CH226" s="8"/>
      <c r="CI226" s="8"/>
      <c r="CJ226" s="8"/>
      <c r="CK226" s="8"/>
      <c r="CL226" s="8"/>
      <c r="CM226" s="8"/>
      <c r="CN226" s="8"/>
      <c r="CO226" s="8"/>
      <c r="CP226" s="8"/>
      <c r="CQ226" s="8"/>
      <c r="CR226" s="8"/>
      <c r="CS226" s="8"/>
      <c r="CT226" s="8"/>
      <c r="CU226" s="8"/>
    </row>
    <row r="227" spans="1:99" x14ac:dyDescent="0.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8"/>
      <c r="BL227" s="8"/>
      <c r="BM227" s="8"/>
      <c r="BN227" s="8"/>
      <c r="BO227" s="8"/>
      <c r="BP227" s="8"/>
      <c r="BQ227" s="8"/>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row>
    <row r="228" spans="1:99" x14ac:dyDescent="0.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c r="BB228" s="8"/>
      <c r="BC228" s="8"/>
      <c r="BD228" s="8"/>
      <c r="BE228" s="8"/>
      <c r="BF228" s="8"/>
      <c r="BG228" s="8"/>
      <c r="BH228" s="8"/>
      <c r="BI228" s="8"/>
      <c r="BJ228" s="8"/>
      <c r="BK228" s="8"/>
      <c r="BL228" s="8"/>
      <c r="BM228" s="8"/>
      <c r="BN228" s="8"/>
      <c r="BO228" s="8"/>
      <c r="BP228" s="8"/>
      <c r="BQ228" s="8"/>
      <c r="BR228" s="8"/>
      <c r="BS228" s="8"/>
      <c r="BT228" s="8"/>
      <c r="BU228" s="8"/>
      <c r="BV228" s="8"/>
      <c r="BW228" s="8"/>
      <c r="BX228" s="8"/>
      <c r="BY228" s="8"/>
      <c r="BZ228" s="8"/>
      <c r="CA228" s="8"/>
      <c r="CB228" s="8"/>
      <c r="CC228" s="8"/>
      <c r="CD228" s="8"/>
      <c r="CE228" s="8"/>
      <c r="CF228" s="8"/>
      <c r="CG228" s="8"/>
      <c r="CH228" s="8"/>
      <c r="CI228" s="8"/>
      <c r="CJ228" s="8"/>
      <c r="CK228" s="8"/>
      <c r="CL228" s="8"/>
      <c r="CM228" s="8"/>
      <c r="CN228" s="8"/>
      <c r="CO228" s="8"/>
      <c r="CP228" s="8"/>
      <c r="CQ228" s="8"/>
      <c r="CR228" s="8"/>
      <c r="CS228" s="8"/>
      <c r="CT228" s="8"/>
      <c r="CU228" s="8"/>
    </row>
    <row r="229" spans="1:99" x14ac:dyDescent="0.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c r="AS229" s="8"/>
      <c r="AT229" s="8"/>
      <c r="AU229" s="8"/>
      <c r="AV229" s="8"/>
      <c r="AW229" s="8"/>
      <c r="AX229" s="8"/>
      <c r="AY229" s="8"/>
      <c r="AZ229" s="8"/>
      <c r="BA229" s="8"/>
      <c r="BB229" s="8"/>
      <c r="BC229" s="8"/>
      <c r="BD229" s="8"/>
      <c r="BE229" s="8"/>
      <c r="BF229" s="8"/>
      <c r="BG229" s="8"/>
      <c r="BH229" s="8"/>
      <c r="BI229" s="8"/>
      <c r="BJ229" s="8"/>
      <c r="BK229" s="8"/>
      <c r="BL229" s="8"/>
      <c r="BM229" s="8"/>
      <c r="BN229" s="8"/>
      <c r="BO229" s="8"/>
      <c r="BP229" s="8"/>
      <c r="BQ229" s="8"/>
      <c r="BR229" s="8"/>
      <c r="BS229" s="8"/>
      <c r="BT229" s="8"/>
      <c r="BU229" s="8"/>
      <c r="BV229" s="8"/>
      <c r="BW229" s="8"/>
      <c r="BX229" s="8"/>
      <c r="BY229" s="8"/>
      <c r="BZ229" s="8"/>
      <c r="CA229" s="8"/>
      <c r="CB229" s="8"/>
      <c r="CC229" s="8"/>
      <c r="CD229" s="8"/>
      <c r="CE229" s="8"/>
      <c r="CF229" s="8"/>
      <c r="CG229" s="8"/>
      <c r="CH229" s="8"/>
      <c r="CI229" s="8"/>
      <c r="CJ229" s="8"/>
      <c r="CK229" s="8"/>
      <c r="CL229" s="8"/>
      <c r="CM229" s="8"/>
      <c r="CN229" s="8"/>
      <c r="CO229" s="8"/>
      <c r="CP229" s="8"/>
      <c r="CQ229" s="8"/>
      <c r="CR229" s="8"/>
      <c r="CS229" s="8"/>
      <c r="CT229" s="8"/>
      <c r="CU229" s="8"/>
    </row>
    <row r="230" spans="1:99" x14ac:dyDescent="0.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8"/>
      <c r="BW230" s="8"/>
      <c r="BX230" s="8"/>
      <c r="BY230" s="8"/>
      <c r="BZ230" s="8"/>
      <c r="CA230" s="8"/>
      <c r="CB230" s="8"/>
      <c r="CC230" s="8"/>
      <c r="CD230" s="8"/>
      <c r="CE230" s="8"/>
      <c r="CF230" s="8"/>
      <c r="CG230" s="8"/>
      <c r="CH230" s="8"/>
      <c r="CI230" s="8"/>
      <c r="CJ230" s="8"/>
      <c r="CK230" s="8"/>
      <c r="CL230" s="8"/>
      <c r="CM230" s="8"/>
      <c r="CN230" s="8"/>
      <c r="CO230" s="8"/>
      <c r="CP230" s="8"/>
      <c r="CQ230" s="8"/>
      <c r="CR230" s="8"/>
      <c r="CS230" s="8"/>
      <c r="CT230" s="8"/>
      <c r="CU230" s="8"/>
    </row>
    <row r="231" spans="1:99" x14ac:dyDescent="0.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c r="AS231" s="8"/>
      <c r="AT231" s="8"/>
      <c r="AU231" s="8"/>
      <c r="AV231" s="8"/>
      <c r="AW231" s="8"/>
      <c r="AX231" s="8"/>
      <c r="AY231" s="8"/>
      <c r="AZ231" s="8"/>
      <c r="BA231" s="8"/>
      <c r="BB231" s="8"/>
      <c r="BC231" s="8"/>
      <c r="BD231" s="8"/>
      <c r="BE231" s="8"/>
      <c r="BF231" s="8"/>
      <c r="BG231" s="8"/>
      <c r="BH231" s="8"/>
      <c r="BI231" s="8"/>
      <c r="BJ231" s="8"/>
      <c r="BK231" s="8"/>
      <c r="BL231" s="8"/>
      <c r="BM231" s="8"/>
      <c r="BN231" s="8"/>
      <c r="BO231" s="8"/>
      <c r="BP231" s="8"/>
      <c r="BQ231" s="8"/>
      <c r="BR231" s="8"/>
      <c r="BS231" s="8"/>
      <c r="BT231" s="8"/>
      <c r="BU231" s="8"/>
      <c r="BV231" s="8"/>
      <c r="BW231" s="8"/>
      <c r="BX231" s="8"/>
      <c r="BY231" s="8"/>
      <c r="BZ231" s="8"/>
      <c r="CA231" s="8"/>
      <c r="CB231" s="8"/>
      <c r="CC231" s="8"/>
      <c r="CD231" s="8"/>
      <c r="CE231" s="8"/>
      <c r="CF231" s="8"/>
      <c r="CG231" s="8"/>
      <c r="CH231" s="8"/>
      <c r="CI231" s="8"/>
      <c r="CJ231" s="8"/>
      <c r="CK231" s="8"/>
      <c r="CL231" s="8"/>
      <c r="CM231" s="8"/>
      <c r="CN231" s="8"/>
      <c r="CO231" s="8"/>
      <c r="CP231" s="8"/>
      <c r="CQ231" s="8"/>
      <c r="CR231" s="8"/>
      <c r="CS231" s="8"/>
      <c r="CT231" s="8"/>
      <c r="CU231" s="8"/>
    </row>
    <row r="232" spans="1:99" x14ac:dyDescent="0.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c r="BB232" s="8"/>
      <c r="BC232" s="8"/>
      <c r="BD232" s="8"/>
      <c r="BE232" s="8"/>
      <c r="BF232" s="8"/>
      <c r="BG232" s="8"/>
      <c r="BH232" s="8"/>
      <c r="BI232" s="8"/>
      <c r="BJ232" s="8"/>
      <c r="BK232" s="8"/>
      <c r="BL232" s="8"/>
      <c r="BM232" s="8"/>
      <c r="BN232" s="8"/>
      <c r="BO232" s="8"/>
      <c r="BP232" s="8"/>
      <c r="BQ232" s="8"/>
      <c r="BR232" s="8"/>
      <c r="BS232" s="8"/>
      <c r="BT232" s="8"/>
      <c r="BU232" s="8"/>
      <c r="BV232" s="8"/>
      <c r="BW232" s="8"/>
      <c r="BX232" s="8"/>
      <c r="BY232" s="8"/>
      <c r="BZ232" s="8"/>
      <c r="CA232" s="8"/>
      <c r="CB232" s="8"/>
      <c r="CC232" s="8"/>
      <c r="CD232" s="8"/>
      <c r="CE232" s="8"/>
      <c r="CF232" s="8"/>
      <c r="CG232" s="8"/>
      <c r="CH232" s="8"/>
      <c r="CI232" s="8"/>
      <c r="CJ232" s="8"/>
      <c r="CK232" s="8"/>
      <c r="CL232" s="8"/>
      <c r="CM232" s="8"/>
      <c r="CN232" s="8"/>
      <c r="CO232" s="8"/>
      <c r="CP232" s="8"/>
      <c r="CQ232" s="8"/>
      <c r="CR232" s="8"/>
      <c r="CS232" s="8"/>
      <c r="CT232" s="8"/>
      <c r="CU232" s="8"/>
    </row>
    <row r="233" spans="1:99" x14ac:dyDescent="0.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c r="BB233" s="8"/>
      <c r="BC233" s="8"/>
      <c r="BD233" s="8"/>
      <c r="BE233" s="8"/>
      <c r="BF233" s="8"/>
      <c r="BG233" s="8"/>
      <c r="BH233" s="8"/>
      <c r="BI233" s="8"/>
      <c r="BJ233" s="8"/>
      <c r="BK233" s="8"/>
      <c r="BL233" s="8"/>
      <c r="BM233" s="8"/>
      <c r="BN233" s="8"/>
      <c r="BO233" s="8"/>
      <c r="BP233" s="8"/>
      <c r="BQ233" s="8"/>
      <c r="BR233" s="8"/>
      <c r="BS233" s="8"/>
      <c r="BT233" s="8"/>
      <c r="BU233" s="8"/>
      <c r="BV233" s="8"/>
      <c r="BW233" s="8"/>
      <c r="BX233" s="8"/>
      <c r="BY233" s="8"/>
      <c r="BZ233" s="8"/>
      <c r="CA233" s="8"/>
      <c r="CB233" s="8"/>
      <c r="CC233" s="8"/>
      <c r="CD233" s="8"/>
      <c r="CE233" s="8"/>
      <c r="CF233" s="8"/>
      <c r="CG233" s="8"/>
      <c r="CH233" s="8"/>
      <c r="CI233" s="8"/>
      <c r="CJ233" s="8"/>
      <c r="CK233" s="8"/>
      <c r="CL233" s="8"/>
      <c r="CM233" s="8"/>
      <c r="CN233" s="8"/>
      <c r="CO233" s="8"/>
      <c r="CP233" s="8"/>
      <c r="CQ233" s="8"/>
      <c r="CR233" s="8"/>
      <c r="CS233" s="8"/>
      <c r="CT233" s="8"/>
      <c r="CU233" s="8"/>
    </row>
    <row r="234" spans="1:99" x14ac:dyDescent="0.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c r="AS234" s="8"/>
      <c r="AT234" s="8"/>
      <c r="AU234" s="8"/>
      <c r="AV234" s="8"/>
      <c r="AW234" s="8"/>
      <c r="AX234" s="8"/>
      <c r="AY234" s="8"/>
      <c r="AZ234" s="8"/>
      <c r="BA234" s="8"/>
      <c r="BB234" s="8"/>
      <c r="BC234" s="8"/>
      <c r="BD234" s="8"/>
      <c r="BE234" s="8"/>
      <c r="BF234" s="8"/>
      <c r="BG234" s="8"/>
      <c r="BH234" s="8"/>
      <c r="BI234" s="8"/>
      <c r="BJ234" s="8"/>
      <c r="BK234" s="8"/>
      <c r="BL234" s="8"/>
      <c r="BM234" s="8"/>
      <c r="BN234" s="8"/>
      <c r="BO234" s="8"/>
      <c r="BP234" s="8"/>
      <c r="BQ234" s="8"/>
      <c r="BR234" s="8"/>
      <c r="BS234" s="8"/>
      <c r="BT234" s="8"/>
      <c r="BU234" s="8"/>
      <c r="BV234" s="8"/>
      <c r="BW234" s="8"/>
      <c r="BX234" s="8"/>
      <c r="BY234" s="8"/>
      <c r="BZ234" s="8"/>
      <c r="CA234" s="8"/>
      <c r="CB234" s="8"/>
      <c r="CC234" s="8"/>
      <c r="CD234" s="8"/>
      <c r="CE234" s="8"/>
      <c r="CF234" s="8"/>
      <c r="CG234" s="8"/>
      <c r="CH234" s="8"/>
      <c r="CI234" s="8"/>
      <c r="CJ234" s="8"/>
      <c r="CK234" s="8"/>
      <c r="CL234" s="8"/>
      <c r="CM234" s="8"/>
      <c r="CN234" s="8"/>
      <c r="CO234" s="8"/>
      <c r="CP234" s="8"/>
      <c r="CQ234" s="8"/>
      <c r="CR234" s="8"/>
      <c r="CS234" s="8"/>
      <c r="CT234" s="8"/>
      <c r="CU234" s="8"/>
    </row>
    <row r="235" spans="1:99" x14ac:dyDescent="0.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c r="AS235" s="8"/>
      <c r="AT235" s="8"/>
      <c r="AU235" s="8"/>
      <c r="AV235" s="8"/>
      <c r="AW235" s="8"/>
      <c r="AX235" s="8"/>
      <c r="AY235" s="8"/>
      <c r="AZ235" s="8"/>
      <c r="BA235" s="8"/>
      <c r="BB235" s="8"/>
      <c r="BC235" s="8"/>
      <c r="BD235" s="8"/>
      <c r="BE235" s="8"/>
      <c r="BF235" s="8"/>
      <c r="BG235" s="8"/>
      <c r="BH235" s="8"/>
      <c r="BI235" s="8"/>
      <c r="BJ235" s="8"/>
      <c r="BK235" s="8"/>
      <c r="BL235" s="8"/>
      <c r="BM235" s="8"/>
      <c r="BN235" s="8"/>
      <c r="BO235" s="8"/>
      <c r="BP235" s="8"/>
      <c r="BQ235" s="8"/>
      <c r="BR235" s="8"/>
      <c r="BS235" s="8"/>
      <c r="BT235" s="8"/>
      <c r="BU235" s="8"/>
      <c r="BV235" s="8"/>
      <c r="BW235" s="8"/>
      <c r="BX235" s="8"/>
      <c r="BY235" s="8"/>
      <c r="BZ235" s="8"/>
      <c r="CA235" s="8"/>
      <c r="CB235" s="8"/>
      <c r="CC235" s="8"/>
      <c r="CD235" s="8"/>
      <c r="CE235" s="8"/>
      <c r="CF235" s="8"/>
      <c r="CG235" s="8"/>
      <c r="CH235" s="8"/>
      <c r="CI235" s="8"/>
      <c r="CJ235" s="8"/>
      <c r="CK235" s="8"/>
      <c r="CL235" s="8"/>
      <c r="CM235" s="8"/>
      <c r="CN235" s="8"/>
      <c r="CO235" s="8"/>
      <c r="CP235" s="8"/>
      <c r="CQ235" s="8"/>
      <c r="CR235" s="8"/>
      <c r="CS235" s="8"/>
      <c r="CT235" s="8"/>
      <c r="CU235" s="8"/>
    </row>
    <row r="236" spans="1:99" x14ac:dyDescent="0.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c r="AS236" s="8"/>
      <c r="AT236" s="8"/>
      <c r="AU236" s="8"/>
      <c r="AV236" s="8"/>
      <c r="AW236" s="8"/>
      <c r="AX236" s="8"/>
      <c r="AY236" s="8"/>
      <c r="AZ236" s="8"/>
      <c r="BA236" s="8"/>
      <c r="BB236" s="8"/>
      <c r="BC236" s="8"/>
      <c r="BD236" s="8"/>
      <c r="BE236" s="8"/>
      <c r="BF236" s="8"/>
      <c r="BG236" s="8"/>
      <c r="BH236" s="8"/>
      <c r="BI236" s="8"/>
      <c r="BJ236" s="8"/>
      <c r="BK236" s="8"/>
      <c r="BL236" s="8"/>
      <c r="BM236" s="8"/>
      <c r="BN236" s="8"/>
      <c r="BO236" s="8"/>
      <c r="BP236" s="8"/>
      <c r="BQ236" s="8"/>
      <c r="BR236" s="8"/>
      <c r="BS236" s="8"/>
      <c r="BT236" s="8"/>
      <c r="BU236" s="8"/>
      <c r="BV236" s="8"/>
      <c r="BW236" s="8"/>
      <c r="BX236" s="8"/>
      <c r="BY236" s="8"/>
      <c r="BZ236" s="8"/>
      <c r="CA236" s="8"/>
      <c r="CB236" s="8"/>
      <c r="CC236" s="8"/>
      <c r="CD236" s="8"/>
      <c r="CE236" s="8"/>
      <c r="CF236" s="8"/>
      <c r="CG236" s="8"/>
      <c r="CH236" s="8"/>
      <c r="CI236" s="8"/>
      <c r="CJ236" s="8"/>
      <c r="CK236" s="8"/>
      <c r="CL236" s="8"/>
      <c r="CM236" s="8"/>
      <c r="CN236" s="8"/>
      <c r="CO236" s="8"/>
      <c r="CP236" s="8"/>
      <c r="CQ236" s="8"/>
      <c r="CR236" s="8"/>
      <c r="CS236" s="8"/>
      <c r="CT236" s="8"/>
      <c r="CU236" s="8"/>
    </row>
    <row r="237" spans="1:99" x14ac:dyDescent="0.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c r="AS237" s="8"/>
      <c r="AT237" s="8"/>
      <c r="AU237" s="8"/>
      <c r="AV237" s="8"/>
      <c r="AW237" s="8"/>
      <c r="AX237" s="8"/>
      <c r="AY237" s="8"/>
      <c r="AZ237" s="8"/>
      <c r="BA237" s="8"/>
      <c r="BB237" s="8"/>
      <c r="BC237" s="8"/>
      <c r="BD237" s="8"/>
      <c r="BE237" s="8"/>
      <c r="BF237" s="8"/>
      <c r="BG237" s="8"/>
      <c r="BH237" s="8"/>
      <c r="BI237" s="8"/>
      <c r="BJ237" s="8"/>
      <c r="BK237" s="8"/>
      <c r="BL237" s="8"/>
      <c r="BM237" s="8"/>
      <c r="BN237" s="8"/>
      <c r="BO237" s="8"/>
      <c r="BP237" s="8"/>
      <c r="BQ237" s="8"/>
      <c r="BR237" s="8"/>
      <c r="BS237" s="8"/>
      <c r="BT237" s="8"/>
      <c r="BU237" s="8"/>
      <c r="BV237" s="8"/>
      <c r="BW237" s="8"/>
      <c r="BX237" s="8"/>
      <c r="BY237" s="8"/>
      <c r="BZ237" s="8"/>
      <c r="CA237" s="8"/>
      <c r="CB237" s="8"/>
      <c r="CC237" s="8"/>
      <c r="CD237" s="8"/>
      <c r="CE237" s="8"/>
      <c r="CF237" s="8"/>
      <c r="CG237" s="8"/>
      <c r="CH237" s="8"/>
      <c r="CI237" s="8"/>
      <c r="CJ237" s="8"/>
      <c r="CK237" s="8"/>
      <c r="CL237" s="8"/>
      <c r="CM237" s="8"/>
      <c r="CN237" s="8"/>
      <c r="CO237" s="8"/>
      <c r="CP237" s="8"/>
      <c r="CQ237" s="8"/>
      <c r="CR237" s="8"/>
      <c r="CS237" s="8"/>
      <c r="CT237" s="8"/>
      <c r="CU237" s="8"/>
    </row>
    <row r="238" spans="1:99" x14ac:dyDescent="0.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8"/>
      <c r="BW238" s="8"/>
      <c r="BX238" s="8"/>
      <c r="BY238" s="8"/>
      <c r="BZ238" s="8"/>
      <c r="CA238" s="8"/>
      <c r="CB238" s="8"/>
      <c r="CC238" s="8"/>
      <c r="CD238" s="8"/>
      <c r="CE238" s="8"/>
      <c r="CF238" s="8"/>
      <c r="CG238" s="8"/>
      <c r="CH238" s="8"/>
      <c r="CI238" s="8"/>
      <c r="CJ238" s="8"/>
      <c r="CK238" s="8"/>
      <c r="CL238" s="8"/>
      <c r="CM238" s="8"/>
      <c r="CN238" s="8"/>
      <c r="CO238" s="8"/>
      <c r="CP238" s="8"/>
      <c r="CQ238" s="8"/>
      <c r="CR238" s="8"/>
      <c r="CS238" s="8"/>
      <c r="CT238" s="8"/>
      <c r="CU238" s="8"/>
    </row>
    <row r="239" spans="1:99" x14ac:dyDescent="0.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c r="AS239" s="8"/>
      <c r="AT239" s="8"/>
      <c r="AU239" s="8"/>
      <c r="AV239" s="8"/>
      <c r="AW239" s="8"/>
      <c r="AX239" s="8"/>
      <c r="AY239" s="8"/>
      <c r="AZ239" s="8"/>
      <c r="BA239" s="8"/>
      <c r="BB239" s="8"/>
      <c r="BC239" s="8"/>
      <c r="BD239" s="8"/>
      <c r="BE239" s="8"/>
      <c r="BF239" s="8"/>
      <c r="BG239" s="8"/>
      <c r="BH239" s="8"/>
      <c r="BI239" s="8"/>
      <c r="BJ239" s="8"/>
      <c r="BK239" s="8"/>
      <c r="BL239" s="8"/>
      <c r="BM239" s="8"/>
      <c r="BN239" s="8"/>
      <c r="BO239" s="8"/>
      <c r="BP239" s="8"/>
      <c r="BQ239" s="8"/>
      <c r="BR239" s="8"/>
      <c r="BS239" s="8"/>
      <c r="BT239" s="8"/>
      <c r="BU239" s="8"/>
      <c r="BV239" s="8"/>
      <c r="BW239" s="8"/>
      <c r="BX239" s="8"/>
      <c r="BY239" s="8"/>
      <c r="BZ239" s="8"/>
      <c r="CA239" s="8"/>
      <c r="CB239" s="8"/>
      <c r="CC239" s="8"/>
      <c r="CD239" s="8"/>
      <c r="CE239" s="8"/>
      <c r="CF239" s="8"/>
      <c r="CG239" s="8"/>
      <c r="CH239" s="8"/>
      <c r="CI239" s="8"/>
      <c r="CJ239" s="8"/>
      <c r="CK239" s="8"/>
      <c r="CL239" s="8"/>
      <c r="CM239" s="8"/>
      <c r="CN239" s="8"/>
      <c r="CO239" s="8"/>
      <c r="CP239" s="8"/>
      <c r="CQ239" s="8"/>
      <c r="CR239" s="8"/>
      <c r="CS239" s="8"/>
      <c r="CT239" s="8"/>
      <c r="CU239" s="8"/>
    </row>
    <row r="240" spans="1:99" x14ac:dyDescent="0.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c r="AS240" s="8"/>
      <c r="AT240" s="8"/>
      <c r="AU240" s="8"/>
      <c r="AV240" s="8"/>
      <c r="AW240" s="8"/>
      <c r="AX240" s="8"/>
      <c r="AY240" s="8"/>
      <c r="AZ240" s="8"/>
      <c r="BA240" s="8"/>
      <c r="BB240" s="8"/>
      <c r="BC240" s="8"/>
      <c r="BD240" s="8"/>
      <c r="BE240" s="8"/>
      <c r="BF240" s="8"/>
      <c r="BG240" s="8"/>
      <c r="BH240" s="8"/>
      <c r="BI240" s="8"/>
      <c r="BJ240" s="8"/>
      <c r="BK240" s="8"/>
      <c r="BL240" s="8"/>
      <c r="BM240" s="8"/>
      <c r="BN240" s="8"/>
      <c r="BO240" s="8"/>
      <c r="BP240" s="8"/>
      <c r="BQ240" s="8"/>
      <c r="BR240" s="8"/>
      <c r="BS240" s="8"/>
      <c r="BT240" s="8"/>
      <c r="BU240" s="8"/>
      <c r="BV240" s="8"/>
      <c r="BW240" s="8"/>
      <c r="BX240" s="8"/>
      <c r="BY240" s="8"/>
      <c r="BZ240" s="8"/>
      <c r="CA240" s="8"/>
      <c r="CB240" s="8"/>
      <c r="CC240" s="8"/>
      <c r="CD240" s="8"/>
      <c r="CE240" s="8"/>
      <c r="CF240" s="8"/>
      <c r="CG240" s="8"/>
      <c r="CH240" s="8"/>
      <c r="CI240" s="8"/>
      <c r="CJ240" s="8"/>
      <c r="CK240" s="8"/>
      <c r="CL240" s="8"/>
      <c r="CM240" s="8"/>
      <c r="CN240" s="8"/>
      <c r="CO240" s="8"/>
      <c r="CP240" s="8"/>
      <c r="CQ240" s="8"/>
      <c r="CR240" s="8"/>
      <c r="CS240" s="8"/>
      <c r="CT240" s="8"/>
      <c r="CU240" s="8"/>
    </row>
    <row r="241" spans="1:99" x14ac:dyDescent="0.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c r="AS241" s="8"/>
      <c r="AT241" s="8"/>
      <c r="AU241" s="8"/>
      <c r="AV241" s="8"/>
      <c r="AW241" s="8"/>
      <c r="AX241" s="8"/>
      <c r="AY241" s="8"/>
      <c r="AZ241" s="8"/>
      <c r="BA241" s="8"/>
      <c r="BB241" s="8"/>
      <c r="BC241" s="8"/>
      <c r="BD241" s="8"/>
      <c r="BE241" s="8"/>
      <c r="BF241" s="8"/>
      <c r="BG241" s="8"/>
      <c r="BH241" s="8"/>
      <c r="BI241" s="8"/>
      <c r="BJ241" s="8"/>
      <c r="BK241" s="8"/>
      <c r="BL241" s="8"/>
      <c r="BM241" s="8"/>
      <c r="BN241" s="8"/>
      <c r="BO241" s="8"/>
      <c r="BP241" s="8"/>
      <c r="BQ241" s="8"/>
      <c r="BR241" s="8"/>
      <c r="BS241" s="8"/>
      <c r="BT241" s="8"/>
      <c r="BU241" s="8"/>
      <c r="BV241" s="8"/>
      <c r="BW241" s="8"/>
      <c r="BX241" s="8"/>
      <c r="BY241" s="8"/>
      <c r="BZ241" s="8"/>
      <c r="CA241" s="8"/>
      <c r="CB241" s="8"/>
      <c r="CC241" s="8"/>
      <c r="CD241" s="8"/>
      <c r="CE241" s="8"/>
      <c r="CF241" s="8"/>
      <c r="CG241" s="8"/>
      <c r="CH241" s="8"/>
      <c r="CI241" s="8"/>
      <c r="CJ241" s="8"/>
      <c r="CK241" s="8"/>
      <c r="CL241" s="8"/>
      <c r="CM241" s="8"/>
      <c r="CN241" s="8"/>
      <c r="CO241" s="8"/>
      <c r="CP241" s="8"/>
      <c r="CQ241" s="8"/>
      <c r="CR241" s="8"/>
      <c r="CS241" s="8"/>
      <c r="CT241" s="8"/>
      <c r="CU241" s="8"/>
    </row>
    <row r="242" spans="1:99" x14ac:dyDescent="0.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c r="AS242" s="8"/>
      <c r="AT242" s="8"/>
      <c r="AU242" s="8"/>
      <c r="AV242" s="8"/>
      <c r="AW242" s="8"/>
      <c r="AX242" s="8"/>
      <c r="AY242" s="8"/>
      <c r="AZ242" s="8"/>
      <c r="BA242" s="8"/>
      <c r="BB242" s="8"/>
      <c r="BC242" s="8"/>
      <c r="BD242" s="8"/>
      <c r="BE242" s="8"/>
      <c r="BF242" s="8"/>
      <c r="BG242" s="8"/>
      <c r="BH242" s="8"/>
      <c r="BI242" s="8"/>
      <c r="BJ242" s="8"/>
      <c r="BK242" s="8"/>
      <c r="BL242" s="8"/>
      <c r="BM242" s="8"/>
      <c r="BN242" s="8"/>
      <c r="BO242" s="8"/>
      <c r="BP242" s="8"/>
      <c r="BQ242" s="8"/>
      <c r="BR242" s="8"/>
      <c r="BS242" s="8"/>
      <c r="BT242" s="8"/>
      <c r="BU242" s="8"/>
      <c r="BV242" s="8"/>
      <c r="BW242" s="8"/>
      <c r="BX242" s="8"/>
      <c r="BY242" s="8"/>
      <c r="BZ242" s="8"/>
      <c r="CA242" s="8"/>
      <c r="CB242" s="8"/>
      <c r="CC242" s="8"/>
      <c r="CD242" s="8"/>
      <c r="CE242" s="8"/>
      <c r="CF242" s="8"/>
      <c r="CG242" s="8"/>
      <c r="CH242" s="8"/>
      <c r="CI242" s="8"/>
      <c r="CJ242" s="8"/>
      <c r="CK242" s="8"/>
      <c r="CL242" s="8"/>
      <c r="CM242" s="8"/>
      <c r="CN242" s="8"/>
      <c r="CO242" s="8"/>
      <c r="CP242" s="8"/>
      <c r="CQ242" s="8"/>
      <c r="CR242" s="8"/>
      <c r="CS242" s="8"/>
      <c r="CT242" s="8"/>
      <c r="CU242" s="8"/>
    </row>
    <row r="243" spans="1:99" x14ac:dyDescent="0.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c r="AS243" s="8"/>
      <c r="AT243" s="8"/>
      <c r="AU243" s="8"/>
      <c r="AV243" s="8"/>
      <c r="AW243" s="8"/>
      <c r="AX243" s="8"/>
      <c r="AY243" s="8"/>
      <c r="AZ243" s="8"/>
      <c r="BA243" s="8"/>
      <c r="BB243" s="8"/>
      <c r="BC243" s="8"/>
      <c r="BD243" s="8"/>
      <c r="BE243" s="8"/>
      <c r="BF243" s="8"/>
      <c r="BG243" s="8"/>
      <c r="BH243" s="8"/>
      <c r="BI243" s="8"/>
      <c r="BJ243" s="8"/>
      <c r="BK243" s="8"/>
      <c r="BL243" s="8"/>
      <c r="BM243" s="8"/>
      <c r="BN243" s="8"/>
      <c r="BO243" s="8"/>
      <c r="BP243" s="8"/>
      <c r="BQ243" s="8"/>
      <c r="BR243" s="8"/>
      <c r="BS243" s="8"/>
      <c r="BT243" s="8"/>
      <c r="BU243" s="8"/>
      <c r="BV243" s="8"/>
      <c r="BW243" s="8"/>
      <c r="BX243" s="8"/>
      <c r="BY243" s="8"/>
      <c r="BZ243" s="8"/>
      <c r="CA243" s="8"/>
      <c r="CB243" s="8"/>
      <c r="CC243" s="8"/>
      <c r="CD243" s="8"/>
      <c r="CE243" s="8"/>
      <c r="CF243" s="8"/>
      <c r="CG243" s="8"/>
      <c r="CH243" s="8"/>
      <c r="CI243" s="8"/>
      <c r="CJ243" s="8"/>
      <c r="CK243" s="8"/>
      <c r="CL243" s="8"/>
      <c r="CM243" s="8"/>
      <c r="CN243" s="8"/>
      <c r="CO243" s="8"/>
      <c r="CP243" s="8"/>
      <c r="CQ243" s="8"/>
      <c r="CR243" s="8"/>
      <c r="CS243" s="8"/>
      <c r="CT243" s="8"/>
      <c r="CU243" s="8"/>
    </row>
    <row r="244" spans="1:99" x14ac:dyDescent="0.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c r="AS244" s="8"/>
      <c r="AT244" s="8"/>
      <c r="AU244" s="8"/>
      <c r="AV244" s="8"/>
      <c r="AW244" s="8"/>
      <c r="AX244" s="8"/>
      <c r="AY244" s="8"/>
      <c r="AZ244" s="8"/>
      <c r="BA244" s="8"/>
      <c r="BB244" s="8"/>
      <c r="BC244" s="8"/>
      <c r="BD244" s="8"/>
      <c r="BE244" s="8"/>
      <c r="BF244" s="8"/>
      <c r="BG244" s="8"/>
      <c r="BH244" s="8"/>
      <c r="BI244" s="8"/>
      <c r="BJ244" s="8"/>
      <c r="BK244" s="8"/>
      <c r="BL244" s="8"/>
      <c r="BM244" s="8"/>
      <c r="BN244" s="8"/>
      <c r="BO244" s="8"/>
      <c r="BP244" s="8"/>
      <c r="BQ244" s="8"/>
      <c r="BR244" s="8"/>
      <c r="BS244" s="8"/>
      <c r="BT244" s="8"/>
      <c r="BU244" s="8"/>
      <c r="BV244" s="8"/>
      <c r="BW244" s="8"/>
      <c r="BX244" s="8"/>
      <c r="BY244" s="8"/>
      <c r="BZ244" s="8"/>
      <c r="CA244" s="8"/>
      <c r="CB244" s="8"/>
      <c r="CC244" s="8"/>
      <c r="CD244" s="8"/>
      <c r="CE244" s="8"/>
      <c r="CF244" s="8"/>
      <c r="CG244" s="8"/>
      <c r="CH244" s="8"/>
      <c r="CI244" s="8"/>
      <c r="CJ244" s="8"/>
      <c r="CK244" s="8"/>
      <c r="CL244" s="8"/>
      <c r="CM244" s="8"/>
      <c r="CN244" s="8"/>
      <c r="CO244" s="8"/>
      <c r="CP244" s="8"/>
      <c r="CQ244" s="8"/>
      <c r="CR244" s="8"/>
      <c r="CS244" s="8"/>
      <c r="CT244" s="8"/>
      <c r="CU244" s="8"/>
    </row>
    <row r="245" spans="1:99" x14ac:dyDescent="0.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c r="AS245" s="8"/>
      <c r="AT245" s="8"/>
      <c r="AU245" s="8"/>
      <c r="AV245" s="8"/>
      <c r="AW245" s="8"/>
      <c r="AX245" s="8"/>
      <c r="AY245" s="8"/>
      <c r="AZ245" s="8"/>
      <c r="BA245" s="8"/>
      <c r="BB245" s="8"/>
      <c r="BC245" s="8"/>
      <c r="BD245" s="8"/>
      <c r="BE245" s="8"/>
      <c r="BF245" s="8"/>
      <c r="BG245" s="8"/>
      <c r="BH245" s="8"/>
      <c r="BI245" s="8"/>
      <c r="BJ245" s="8"/>
      <c r="BK245" s="8"/>
      <c r="BL245" s="8"/>
      <c r="BM245" s="8"/>
      <c r="BN245" s="8"/>
      <c r="BO245" s="8"/>
      <c r="BP245" s="8"/>
      <c r="BQ245" s="8"/>
      <c r="BR245" s="8"/>
      <c r="BS245" s="8"/>
      <c r="BT245" s="8"/>
      <c r="BU245" s="8"/>
      <c r="BV245" s="8"/>
      <c r="BW245" s="8"/>
      <c r="BX245" s="8"/>
      <c r="BY245" s="8"/>
      <c r="BZ245" s="8"/>
      <c r="CA245" s="8"/>
      <c r="CB245" s="8"/>
      <c r="CC245" s="8"/>
      <c r="CD245" s="8"/>
      <c r="CE245" s="8"/>
      <c r="CF245" s="8"/>
      <c r="CG245" s="8"/>
      <c r="CH245" s="8"/>
      <c r="CI245" s="8"/>
      <c r="CJ245" s="8"/>
      <c r="CK245" s="8"/>
      <c r="CL245" s="8"/>
      <c r="CM245" s="8"/>
      <c r="CN245" s="8"/>
      <c r="CO245" s="8"/>
      <c r="CP245" s="8"/>
      <c r="CQ245" s="8"/>
      <c r="CR245" s="8"/>
      <c r="CS245" s="8"/>
      <c r="CT245" s="8"/>
      <c r="CU245" s="8"/>
    </row>
    <row r="246" spans="1:99" x14ac:dyDescent="0.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8"/>
      <c r="BW246" s="8"/>
      <c r="BX246" s="8"/>
      <c r="BY246" s="8"/>
      <c r="BZ246" s="8"/>
      <c r="CA246" s="8"/>
      <c r="CB246" s="8"/>
      <c r="CC246" s="8"/>
      <c r="CD246" s="8"/>
      <c r="CE246" s="8"/>
      <c r="CF246" s="8"/>
      <c r="CG246" s="8"/>
      <c r="CH246" s="8"/>
      <c r="CI246" s="8"/>
      <c r="CJ246" s="8"/>
      <c r="CK246" s="8"/>
      <c r="CL246" s="8"/>
      <c r="CM246" s="8"/>
      <c r="CN246" s="8"/>
      <c r="CO246" s="8"/>
      <c r="CP246" s="8"/>
      <c r="CQ246" s="8"/>
      <c r="CR246" s="8"/>
      <c r="CS246" s="8"/>
      <c r="CT246" s="8"/>
      <c r="CU246" s="8"/>
    </row>
    <row r="247" spans="1:99" x14ac:dyDescent="0.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c r="AS247" s="8"/>
      <c r="AT247" s="8"/>
      <c r="AU247" s="8"/>
      <c r="AV247" s="8"/>
      <c r="AW247" s="8"/>
      <c r="AX247" s="8"/>
      <c r="AY247" s="8"/>
      <c r="AZ247" s="8"/>
      <c r="BA247" s="8"/>
      <c r="BB247" s="8"/>
      <c r="BC247" s="8"/>
      <c r="BD247" s="8"/>
      <c r="BE247" s="8"/>
      <c r="BF247" s="8"/>
      <c r="BG247" s="8"/>
      <c r="BH247" s="8"/>
      <c r="BI247" s="8"/>
      <c r="BJ247" s="8"/>
      <c r="BK247" s="8"/>
      <c r="BL247" s="8"/>
      <c r="BM247" s="8"/>
      <c r="BN247" s="8"/>
      <c r="BO247" s="8"/>
      <c r="BP247" s="8"/>
      <c r="BQ247" s="8"/>
      <c r="BR247" s="8"/>
      <c r="BS247" s="8"/>
      <c r="BT247" s="8"/>
      <c r="BU247" s="8"/>
      <c r="BV247" s="8"/>
      <c r="BW247" s="8"/>
      <c r="BX247" s="8"/>
      <c r="BY247" s="8"/>
      <c r="BZ247" s="8"/>
      <c r="CA247" s="8"/>
      <c r="CB247" s="8"/>
      <c r="CC247" s="8"/>
      <c r="CD247" s="8"/>
      <c r="CE247" s="8"/>
      <c r="CF247" s="8"/>
      <c r="CG247" s="8"/>
      <c r="CH247" s="8"/>
      <c r="CI247" s="8"/>
      <c r="CJ247" s="8"/>
      <c r="CK247" s="8"/>
      <c r="CL247" s="8"/>
      <c r="CM247" s="8"/>
      <c r="CN247" s="8"/>
      <c r="CO247" s="8"/>
      <c r="CP247" s="8"/>
      <c r="CQ247" s="8"/>
      <c r="CR247" s="8"/>
      <c r="CS247" s="8"/>
      <c r="CT247" s="8"/>
      <c r="CU247" s="8"/>
    </row>
    <row r="248" spans="1:99" x14ac:dyDescent="0.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c r="AS248" s="8"/>
      <c r="AT248" s="8"/>
      <c r="AU248" s="8"/>
      <c r="AV248" s="8"/>
      <c r="AW248" s="8"/>
      <c r="AX248" s="8"/>
      <c r="AY248" s="8"/>
      <c r="AZ248" s="8"/>
      <c r="BA248" s="8"/>
      <c r="BB248" s="8"/>
      <c r="BC248" s="8"/>
      <c r="BD248" s="8"/>
      <c r="BE248" s="8"/>
      <c r="BF248" s="8"/>
      <c r="BG248" s="8"/>
      <c r="BH248" s="8"/>
      <c r="BI248" s="8"/>
      <c r="BJ248" s="8"/>
      <c r="BK248" s="8"/>
      <c r="BL248" s="8"/>
      <c r="BM248" s="8"/>
      <c r="BN248" s="8"/>
      <c r="BO248" s="8"/>
      <c r="BP248" s="8"/>
      <c r="BQ248" s="8"/>
      <c r="BR248" s="8"/>
      <c r="BS248" s="8"/>
      <c r="BT248" s="8"/>
      <c r="BU248" s="8"/>
      <c r="BV248" s="8"/>
      <c r="BW248" s="8"/>
      <c r="BX248" s="8"/>
      <c r="BY248" s="8"/>
      <c r="BZ248" s="8"/>
      <c r="CA248" s="8"/>
      <c r="CB248" s="8"/>
      <c r="CC248" s="8"/>
      <c r="CD248" s="8"/>
      <c r="CE248" s="8"/>
      <c r="CF248" s="8"/>
      <c r="CG248" s="8"/>
      <c r="CH248" s="8"/>
      <c r="CI248" s="8"/>
      <c r="CJ248" s="8"/>
      <c r="CK248" s="8"/>
      <c r="CL248" s="8"/>
      <c r="CM248" s="8"/>
      <c r="CN248" s="8"/>
      <c r="CO248" s="8"/>
      <c r="CP248" s="8"/>
      <c r="CQ248" s="8"/>
      <c r="CR248" s="8"/>
      <c r="CS248" s="8"/>
      <c r="CT248" s="8"/>
      <c r="CU248" s="8"/>
    </row>
    <row r="249" spans="1:99" x14ac:dyDescent="0.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c r="AS249" s="8"/>
      <c r="AT249" s="8"/>
      <c r="AU249" s="8"/>
      <c r="AV249" s="8"/>
      <c r="AW249" s="8"/>
      <c r="AX249" s="8"/>
      <c r="AY249" s="8"/>
      <c r="AZ249" s="8"/>
      <c r="BA249" s="8"/>
      <c r="BB249" s="8"/>
      <c r="BC249" s="8"/>
      <c r="BD249" s="8"/>
      <c r="BE249" s="8"/>
      <c r="BF249" s="8"/>
      <c r="BG249" s="8"/>
      <c r="BH249" s="8"/>
      <c r="BI249" s="8"/>
      <c r="BJ249" s="8"/>
      <c r="BK249" s="8"/>
      <c r="BL249" s="8"/>
      <c r="BM249" s="8"/>
      <c r="BN249" s="8"/>
      <c r="BO249" s="8"/>
      <c r="BP249" s="8"/>
      <c r="BQ249" s="8"/>
      <c r="BR249" s="8"/>
      <c r="BS249" s="8"/>
      <c r="BT249" s="8"/>
      <c r="BU249" s="8"/>
      <c r="BV249" s="8"/>
      <c r="BW249" s="8"/>
      <c r="BX249" s="8"/>
      <c r="BY249" s="8"/>
      <c r="BZ249" s="8"/>
      <c r="CA249" s="8"/>
      <c r="CB249" s="8"/>
      <c r="CC249" s="8"/>
      <c r="CD249" s="8"/>
      <c r="CE249" s="8"/>
      <c r="CF249" s="8"/>
      <c r="CG249" s="8"/>
      <c r="CH249" s="8"/>
      <c r="CI249" s="8"/>
      <c r="CJ249" s="8"/>
      <c r="CK249" s="8"/>
      <c r="CL249" s="8"/>
      <c r="CM249" s="8"/>
      <c r="CN249" s="8"/>
      <c r="CO249" s="8"/>
      <c r="CP249" s="8"/>
      <c r="CQ249" s="8"/>
      <c r="CR249" s="8"/>
      <c r="CS249" s="8"/>
      <c r="CT249" s="8"/>
      <c r="CU249" s="8"/>
    </row>
    <row r="250" spans="1:99" x14ac:dyDescent="0.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c r="AS250" s="8"/>
      <c r="AT250" s="8"/>
      <c r="AU250" s="8"/>
      <c r="AV250" s="8"/>
      <c r="AW250" s="8"/>
      <c r="AX250" s="8"/>
      <c r="AY250" s="8"/>
      <c r="AZ250" s="8"/>
      <c r="BA250" s="8"/>
      <c r="BB250" s="8"/>
      <c r="BC250" s="8"/>
      <c r="BD250" s="8"/>
      <c r="BE250" s="8"/>
      <c r="BF250" s="8"/>
      <c r="BG250" s="8"/>
      <c r="BH250" s="8"/>
      <c r="BI250" s="8"/>
      <c r="BJ250" s="8"/>
      <c r="BK250" s="8"/>
      <c r="BL250" s="8"/>
      <c r="BM250" s="8"/>
      <c r="BN250" s="8"/>
      <c r="BO250" s="8"/>
      <c r="BP250" s="8"/>
      <c r="BQ250" s="8"/>
      <c r="BR250" s="8"/>
      <c r="BS250" s="8"/>
      <c r="BT250" s="8"/>
      <c r="BU250" s="8"/>
      <c r="BV250" s="8"/>
      <c r="BW250" s="8"/>
      <c r="BX250" s="8"/>
      <c r="BY250" s="8"/>
      <c r="BZ250" s="8"/>
      <c r="CA250" s="8"/>
      <c r="CB250" s="8"/>
      <c r="CC250" s="8"/>
      <c r="CD250" s="8"/>
      <c r="CE250" s="8"/>
      <c r="CF250" s="8"/>
      <c r="CG250" s="8"/>
      <c r="CH250" s="8"/>
      <c r="CI250" s="8"/>
      <c r="CJ250" s="8"/>
      <c r="CK250" s="8"/>
      <c r="CL250" s="8"/>
      <c r="CM250" s="8"/>
      <c r="CN250" s="8"/>
      <c r="CO250" s="8"/>
      <c r="CP250" s="8"/>
      <c r="CQ250" s="8"/>
      <c r="CR250" s="8"/>
      <c r="CS250" s="8"/>
      <c r="CT250" s="8"/>
      <c r="CU250" s="8"/>
    </row>
    <row r="251" spans="1:99" x14ac:dyDescent="0.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c r="AS251" s="8"/>
      <c r="AT251" s="8"/>
      <c r="AU251" s="8"/>
      <c r="AV251" s="8"/>
      <c r="AW251" s="8"/>
      <c r="AX251" s="8"/>
      <c r="AY251" s="8"/>
      <c r="AZ251" s="8"/>
      <c r="BA251" s="8"/>
      <c r="BB251" s="8"/>
      <c r="BC251" s="8"/>
      <c r="BD251" s="8"/>
      <c r="BE251" s="8"/>
      <c r="BF251" s="8"/>
      <c r="BG251" s="8"/>
      <c r="BH251" s="8"/>
      <c r="BI251" s="8"/>
      <c r="BJ251" s="8"/>
      <c r="BK251" s="8"/>
      <c r="BL251" s="8"/>
      <c r="BM251" s="8"/>
      <c r="BN251" s="8"/>
      <c r="BO251" s="8"/>
      <c r="BP251" s="8"/>
      <c r="BQ251" s="8"/>
      <c r="BR251" s="8"/>
      <c r="BS251" s="8"/>
      <c r="BT251" s="8"/>
      <c r="BU251" s="8"/>
      <c r="BV251" s="8"/>
      <c r="BW251" s="8"/>
      <c r="BX251" s="8"/>
      <c r="BY251" s="8"/>
      <c r="BZ251" s="8"/>
      <c r="CA251" s="8"/>
      <c r="CB251" s="8"/>
      <c r="CC251" s="8"/>
      <c r="CD251" s="8"/>
      <c r="CE251" s="8"/>
      <c r="CF251" s="8"/>
      <c r="CG251" s="8"/>
      <c r="CH251" s="8"/>
      <c r="CI251" s="8"/>
      <c r="CJ251" s="8"/>
      <c r="CK251" s="8"/>
      <c r="CL251" s="8"/>
      <c r="CM251" s="8"/>
      <c r="CN251" s="8"/>
      <c r="CO251" s="8"/>
      <c r="CP251" s="8"/>
      <c r="CQ251" s="8"/>
      <c r="CR251" s="8"/>
      <c r="CS251" s="8"/>
      <c r="CT251" s="8"/>
      <c r="CU251" s="8"/>
    </row>
    <row r="252" spans="1:99" x14ac:dyDescent="0.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c r="BB252" s="8"/>
      <c r="BC252" s="8"/>
      <c r="BD252" s="8"/>
      <c r="BE252" s="8"/>
      <c r="BF252" s="8"/>
      <c r="BG252" s="8"/>
      <c r="BH252" s="8"/>
      <c r="BI252" s="8"/>
      <c r="BJ252" s="8"/>
      <c r="BK252" s="8"/>
      <c r="BL252" s="8"/>
      <c r="BM252" s="8"/>
      <c r="BN252" s="8"/>
      <c r="BO252" s="8"/>
      <c r="BP252" s="8"/>
      <c r="BQ252" s="8"/>
      <c r="BR252" s="8"/>
      <c r="BS252" s="8"/>
      <c r="BT252" s="8"/>
      <c r="BU252" s="8"/>
      <c r="BV252" s="8"/>
      <c r="BW252" s="8"/>
      <c r="BX252" s="8"/>
      <c r="BY252" s="8"/>
      <c r="BZ252" s="8"/>
      <c r="CA252" s="8"/>
      <c r="CB252" s="8"/>
      <c r="CC252" s="8"/>
      <c r="CD252" s="8"/>
      <c r="CE252" s="8"/>
      <c r="CF252" s="8"/>
      <c r="CG252" s="8"/>
      <c r="CH252" s="8"/>
      <c r="CI252" s="8"/>
      <c r="CJ252" s="8"/>
      <c r="CK252" s="8"/>
      <c r="CL252" s="8"/>
      <c r="CM252" s="8"/>
      <c r="CN252" s="8"/>
      <c r="CO252" s="8"/>
      <c r="CP252" s="8"/>
      <c r="CQ252" s="8"/>
      <c r="CR252" s="8"/>
      <c r="CS252" s="8"/>
      <c r="CT252" s="8"/>
      <c r="CU252" s="8"/>
    </row>
    <row r="253" spans="1:99" x14ac:dyDescent="0.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c r="BB253" s="8"/>
      <c r="BC253" s="8"/>
      <c r="BD253" s="8"/>
      <c r="BE253" s="8"/>
      <c r="BF253" s="8"/>
      <c r="BG253" s="8"/>
      <c r="BH253" s="8"/>
      <c r="BI253" s="8"/>
      <c r="BJ253" s="8"/>
      <c r="BK253" s="8"/>
      <c r="BL253" s="8"/>
      <c r="BM253" s="8"/>
      <c r="BN253" s="8"/>
      <c r="BO253" s="8"/>
      <c r="BP253" s="8"/>
      <c r="BQ253" s="8"/>
      <c r="BR253" s="8"/>
      <c r="BS253" s="8"/>
      <c r="BT253" s="8"/>
      <c r="BU253" s="8"/>
      <c r="BV253" s="8"/>
      <c r="BW253" s="8"/>
      <c r="BX253" s="8"/>
      <c r="BY253" s="8"/>
      <c r="BZ253" s="8"/>
      <c r="CA253" s="8"/>
      <c r="CB253" s="8"/>
      <c r="CC253" s="8"/>
      <c r="CD253" s="8"/>
      <c r="CE253" s="8"/>
      <c r="CF253" s="8"/>
      <c r="CG253" s="8"/>
      <c r="CH253" s="8"/>
      <c r="CI253" s="8"/>
      <c r="CJ253" s="8"/>
      <c r="CK253" s="8"/>
      <c r="CL253" s="8"/>
      <c r="CM253" s="8"/>
      <c r="CN253" s="8"/>
      <c r="CO253" s="8"/>
      <c r="CP253" s="8"/>
      <c r="CQ253" s="8"/>
      <c r="CR253" s="8"/>
      <c r="CS253" s="8"/>
      <c r="CT253" s="8"/>
      <c r="CU253" s="8"/>
    </row>
    <row r="254" spans="1:99" x14ac:dyDescent="0.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8"/>
      <c r="BW254" s="8"/>
      <c r="BX254" s="8"/>
      <c r="BY254" s="8"/>
      <c r="BZ254" s="8"/>
      <c r="CA254" s="8"/>
      <c r="CB254" s="8"/>
      <c r="CC254" s="8"/>
      <c r="CD254" s="8"/>
      <c r="CE254" s="8"/>
      <c r="CF254" s="8"/>
      <c r="CG254" s="8"/>
      <c r="CH254" s="8"/>
      <c r="CI254" s="8"/>
      <c r="CJ254" s="8"/>
      <c r="CK254" s="8"/>
      <c r="CL254" s="8"/>
      <c r="CM254" s="8"/>
      <c r="CN254" s="8"/>
      <c r="CO254" s="8"/>
      <c r="CP254" s="8"/>
      <c r="CQ254" s="8"/>
      <c r="CR254" s="8"/>
      <c r="CS254" s="8"/>
      <c r="CT254" s="8"/>
      <c r="CU254" s="8"/>
    </row>
    <row r="255" spans="1:99" x14ac:dyDescent="0.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c r="AS255" s="8"/>
      <c r="AT255" s="8"/>
      <c r="AU255" s="8"/>
      <c r="AV255" s="8"/>
      <c r="AW255" s="8"/>
      <c r="AX255" s="8"/>
      <c r="AY255" s="8"/>
      <c r="AZ255" s="8"/>
      <c r="BA255" s="8"/>
      <c r="BB255" s="8"/>
      <c r="BC255" s="8"/>
      <c r="BD255" s="8"/>
      <c r="BE255" s="8"/>
      <c r="BF255" s="8"/>
      <c r="BG255" s="8"/>
      <c r="BH255" s="8"/>
      <c r="BI255" s="8"/>
      <c r="BJ255" s="8"/>
      <c r="BK255" s="8"/>
      <c r="BL255" s="8"/>
      <c r="BM255" s="8"/>
      <c r="BN255" s="8"/>
      <c r="BO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c r="CT255" s="8"/>
      <c r="CU255" s="8"/>
    </row>
    <row r="256" spans="1:99" x14ac:dyDescent="0.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c r="AS256" s="8"/>
      <c r="AT256" s="8"/>
      <c r="AU256" s="8"/>
      <c r="AV256" s="8"/>
      <c r="AW256" s="8"/>
      <c r="AX256" s="8"/>
      <c r="AY256" s="8"/>
      <c r="AZ256" s="8"/>
      <c r="BA256" s="8"/>
      <c r="BB256" s="8"/>
      <c r="BC256" s="8"/>
      <c r="BD256" s="8"/>
      <c r="BE256" s="8"/>
      <c r="BF256" s="8"/>
      <c r="BG256" s="8"/>
      <c r="BH256" s="8"/>
      <c r="BI256" s="8"/>
      <c r="BJ256" s="8"/>
      <c r="BK256" s="8"/>
      <c r="BL256" s="8"/>
      <c r="BM256" s="8"/>
      <c r="BN256" s="8"/>
      <c r="BO256" s="8"/>
      <c r="BP256" s="8"/>
      <c r="BQ256" s="8"/>
      <c r="BR256" s="8"/>
      <c r="BS256" s="8"/>
      <c r="BT256" s="8"/>
      <c r="BU256" s="8"/>
      <c r="BV256" s="8"/>
      <c r="BW256" s="8"/>
      <c r="BX256" s="8"/>
      <c r="BY256" s="8"/>
      <c r="BZ256" s="8"/>
      <c r="CA256" s="8"/>
      <c r="CB256" s="8"/>
      <c r="CC256" s="8"/>
      <c r="CD256" s="8"/>
      <c r="CE256" s="8"/>
      <c r="CF256" s="8"/>
      <c r="CG256" s="8"/>
      <c r="CH256" s="8"/>
      <c r="CI256" s="8"/>
      <c r="CJ256" s="8"/>
      <c r="CK256" s="8"/>
      <c r="CL256" s="8"/>
      <c r="CM256" s="8"/>
      <c r="CN256" s="8"/>
      <c r="CO256" s="8"/>
      <c r="CP256" s="8"/>
      <c r="CQ256" s="8"/>
      <c r="CR256" s="8"/>
      <c r="CS256" s="8"/>
      <c r="CT256" s="8"/>
      <c r="CU256" s="8"/>
    </row>
    <row r="257" spans="1:99" x14ac:dyDescent="0.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c r="BB257" s="8"/>
      <c r="BC257" s="8"/>
      <c r="BD257" s="8"/>
      <c r="BE257" s="8"/>
      <c r="BF257" s="8"/>
      <c r="BG257" s="8"/>
      <c r="BH257" s="8"/>
      <c r="BI257" s="8"/>
      <c r="BJ257" s="8"/>
      <c r="BK257" s="8"/>
      <c r="BL257" s="8"/>
      <c r="BM257" s="8"/>
      <c r="BN257" s="8"/>
      <c r="BO257" s="8"/>
      <c r="BP257" s="8"/>
      <c r="BQ257" s="8"/>
      <c r="BR257" s="8"/>
      <c r="BS257" s="8"/>
      <c r="BT257" s="8"/>
      <c r="BU257" s="8"/>
      <c r="BV257" s="8"/>
      <c r="BW257" s="8"/>
      <c r="BX257" s="8"/>
      <c r="BY257" s="8"/>
      <c r="BZ257" s="8"/>
      <c r="CA257" s="8"/>
      <c r="CB257" s="8"/>
      <c r="CC257" s="8"/>
      <c r="CD257" s="8"/>
      <c r="CE257" s="8"/>
      <c r="CF257" s="8"/>
      <c r="CG257" s="8"/>
      <c r="CH257" s="8"/>
      <c r="CI257" s="8"/>
      <c r="CJ257" s="8"/>
      <c r="CK257" s="8"/>
      <c r="CL257" s="8"/>
      <c r="CM257" s="8"/>
      <c r="CN257" s="8"/>
      <c r="CO257" s="8"/>
      <c r="CP257" s="8"/>
      <c r="CQ257" s="8"/>
      <c r="CR257" s="8"/>
      <c r="CS257" s="8"/>
      <c r="CT257" s="8"/>
      <c r="CU257" s="8"/>
    </row>
    <row r="258" spans="1:99" x14ac:dyDescent="0.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c r="BI258" s="8"/>
      <c r="BJ258" s="8"/>
      <c r="BK258" s="8"/>
      <c r="BL258" s="8"/>
      <c r="BM258" s="8"/>
      <c r="BN258" s="8"/>
      <c r="BO258" s="8"/>
      <c r="BP258" s="8"/>
      <c r="BQ258" s="8"/>
      <c r="BR258" s="8"/>
      <c r="BS258" s="8"/>
      <c r="BT258" s="8"/>
      <c r="BU258" s="8"/>
      <c r="BV258" s="8"/>
      <c r="BW258" s="8"/>
      <c r="BX258" s="8"/>
      <c r="BY258" s="8"/>
      <c r="BZ258" s="8"/>
      <c r="CA258" s="8"/>
      <c r="CB258" s="8"/>
      <c r="CC258" s="8"/>
      <c r="CD258" s="8"/>
      <c r="CE258" s="8"/>
      <c r="CF258" s="8"/>
      <c r="CG258" s="8"/>
      <c r="CH258" s="8"/>
      <c r="CI258" s="8"/>
      <c r="CJ258" s="8"/>
      <c r="CK258" s="8"/>
      <c r="CL258" s="8"/>
      <c r="CM258" s="8"/>
      <c r="CN258" s="8"/>
      <c r="CO258" s="8"/>
      <c r="CP258" s="8"/>
      <c r="CQ258" s="8"/>
      <c r="CR258" s="8"/>
      <c r="CS258" s="8"/>
      <c r="CT258" s="8"/>
      <c r="CU258" s="8"/>
    </row>
    <row r="259" spans="1:99" x14ac:dyDescent="0.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c r="BI259" s="8"/>
      <c r="BJ259" s="8"/>
      <c r="BK259" s="8"/>
      <c r="BL259" s="8"/>
      <c r="BM259" s="8"/>
      <c r="BN259" s="8"/>
      <c r="BO259" s="8"/>
      <c r="BP259" s="8"/>
      <c r="BQ259" s="8"/>
      <c r="BR259" s="8"/>
      <c r="BS259" s="8"/>
      <c r="BT259" s="8"/>
      <c r="BU259" s="8"/>
      <c r="BV259" s="8"/>
      <c r="BW259" s="8"/>
      <c r="BX259" s="8"/>
      <c r="BY259" s="8"/>
      <c r="BZ259" s="8"/>
      <c r="CA259" s="8"/>
      <c r="CB259" s="8"/>
      <c r="CC259" s="8"/>
      <c r="CD259" s="8"/>
      <c r="CE259" s="8"/>
      <c r="CF259" s="8"/>
      <c r="CG259" s="8"/>
      <c r="CH259" s="8"/>
      <c r="CI259" s="8"/>
      <c r="CJ259" s="8"/>
      <c r="CK259" s="8"/>
      <c r="CL259" s="8"/>
      <c r="CM259" s="8"/>
      <c r="CN259" s="8"/>
      <c r="CO259" s="8"/>
      <c r="CP259" s="8"/>
      <c r="CQ259" s="8"/>
      <c r="CR259" s="8"/>
      <c r="CS259" s="8"/>
      <c r="CT259" s="8"/>
      <c r="CU259" s="8"/>
    </row>
    <row r="260" spans="1:99" x14ac:dyDescent="0.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c r="BI260" s="8"/>
      <c r="BJ260" s="8"/>
      <c r="BK260" s="8"/>
      <c r="BL260" s="8"/>
      <c r="BM260" s="8"/>
      <c r="BN260" s="8"/>
      <c r="BO260" s="8"/>
      <c r="BP260" s="8"/>
      <c r="BQ260" s="8"/>
      <c r="BR260" s="8"/>
      <c r="BS260" s="8"/>
      <c r="BT260" s="8"/>
      <c r="BU260" s="8"/>
      <c r="BV260" s="8"/>
      <c r="BW260" s="8"/>
      <c r="BX260" s="8"/>
      <c r="BY260" s="8"/>
      <c r="BZ260" s="8"/>
      <c r="CA260" s="8"/>
      <c r="CB260" s="8"/>
      <c r="CC260" s="8"/>
      <c r="CD260" s="8"/>
      <c r="CE260" s="8"/>
      <c r="CF260" s="8"/>
      <c r="CG260" s="8"/>
      <c r="CH260" s="8"/>
      <c r="CI260" s="8"/>
      <c r="CJ260" s="8"/>
      <c r="CK260" s="8"/>
      <c r="CL260" s="8"/>
      <c r="CM260" s="8"/>
      <c r="CN260" s="8"/>
      <c r="CO260" s="8"/>
      <c r="CP260" s="8"/>
      <c r="CQ260" s="8"/>
      <c r="CR260" s="8"/>
      <c r="CS260" s="8"/>
      <c r="CT260" s="8"/>
      <c r="CU260" s="8"/>
    </row>
    <row r="261" spans="1:99" x14ac:dyDescent="0.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c r="BI261" s="8"/>
      <c r="BJ261" s="8"/>
      <c r="BK261" s="8"/>
      <c r="BL261" s="8"/>
      <c r="BM261" s="8"/>
      <c r="BN261" s="8"/>
      <c r="BO261" s="8"/>
      <c r="BP261" s="8"/>
      <c r="BQ261" s="8"/>
      <c r="BR261" s="8"/>
      <c r="BS261" s="8"/>
      <c r="BT261" s="8"/>
      <c r="BU261" s="8"/>
      <c r="BV261" s="8"/>
      <c r="BW261" s="8"/>
      <c r="BX261" s="8"/>
      <c r="BY261" s="8"/>
      <c r="BZ261" s="8"/>
      <c r="CA261" s="8"/>
      <c r="CB261" s="8"/>
      <c r="CC261" s="8"/>
      <c r="CD261" s="8"/>
      <c r="CE261" s="8"/>
      <c r="CF261" s="8"/>
      <c r="CG261" s="8"/>
      <c r="CH261" s="8"/>
      <c r="CI261" s="8"/>
      <c r="CJ261" s="8"/>
      <c r="CK261" s="8"/>
      <c r="CL261" s="8"/>
      <c r="CM261" s="8"/>
      <c r="CN261" s="8"/>
      <c r="CO261" s="8"/>
      <c r="CP261" s="8"/>
      <c r="CQ261" s="8"/>
      <c r="CR261" s="8"/>
      <c r="CS261" s="8"/>
      <c r="CT261" s="8"/>
      <c r="CU261" s="8"/>
    </row>
    <row r="262" spans="1:99" x14ac:dyDescent="0.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8"/>
      <c r="BW262" s="8"/>
      <c r="BX262" s="8"/>
      <c r="BY262" s="8"/>
      <c r="BZ262" s="8"/>
      <c r="CA262" s="8"/>
      <c r="CB262" s="8"/>
      <c r="CC262" s="8"/>
      <c r="CD262" s="8"/>
      <c r="CE262" s="8"/>
      <c r="CF262" s="8"/>
      <c r="CG262" s="8"/>
      <c r="CH262" s="8"/>
      <c r="CI262" s="8"/>
      <c r="CJ262" s="8"/>
      <c r="CK262" s="8"/>
      <c r="CL262" s="8"/>
      <c r="CM262" s="8"/>
      <c r="CN262" s="8"/>
      <c r="CO262" s="8"/>
      <c r="CP262" s="8"/>
      <c r="CQ262" s="8"/>
      <c r="CR262" s="8"/>
      <c r="CS262" s="8"/>
      <c r="CT262" s="8"/>
      <c r="CU262" s="8"/>
    </row>
    <row r="263" spans="1:99" x14ac:dyDescent="0.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c r="BI263" s="8"/>
      <c r="BJ263" s="8"/>
      <c r="BK263" s="8"/>
      <c r="BL263" s="8"/>
      <c r="BM263" s="8"/>
      <c r="BN263" s="8"/>
      <c r="BO263" s="8"/>
      <c r="BP263" s="8"/>
      <c r="BQ263" s="8"/>
      <c r="BR263" s="8"/>
      <c r="BS263" s="8"/>
      <c r="BT263" s="8"/>
      <c r="BU263" s="8"/>
      <c r="BV263" s="8"/>
      <c r="BW263" s="8"/>
      <c r="BX263" s="8"/>
      <c r="BY263" s="8"/>
      <c r="BZ263" s="8"/>
      <c r="CA263" s="8"/>
      <c r="CB263" s="8"/>
      <c r="CC263" s="8"/>
      <c r="CD263" s="8"/>
      <c r="CE263" s="8"/>
      <c r="CF263" s="8"/>
      <c r="CG263" s="8"/>
      <c r="CH263" s="8"/>
      <c r="CI263" s="8"/>
      <c r="CJ263" s="8"/>
      <c r="CK263" s="8"/>
      <c r="CL263" s="8"/>
      <c r="CM263" s="8"/>
      <c r="CN263" s="8"/>
      <c r="CO263" s="8"/>
      <c r="CP263" s="8"/>
      <c r="CQ263" s="8"/>
      <c r="CR263" s="8"/>
      <c r="CS263" s="8"/>
      <c r="CT263" s="8"/>
      <c r="CU263" s="8"/>
    </row>
    <row r="264" spans="1:99" x14ac:dyDescent="0.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c r="BI264" s="8"/>
      <c r="BJ264" s="8"/>
      <c r="BK264" s="8"/>
      <c r="BL264" s="8"/>
      <c r="BM264" s="8"/>
      <c r="BN264" s="8"/>
      <c r="BO264" s="8"/>
      <c r="BP264" s="8"/>
      <c r="BQ264" s="8"/>
      <c r="BR264" s="8"/>
      <c r="BS264" s="8"/>
      <c r="BT264" s="8"/>
      <c r="BU264" s="8"/>
      <c r="BV264" s="8"/>
      <c r="BW264" s="8"/>
      <c r="BX264" s="8"/>
      <c r="BY264" s="8"/>
      <c r="BZ264" s="8"/>
      <c r="CA264" s="8"/>
      <c r="CB264" s="8"/>
      <c r="CC264" s="8"/>
      <c r="CD264" s="8"/>
      <c r="CE264" s="8"/>
      <c r="CF264" s="8"/>
      <c r="CG264" s="8"/>
      <c r="CH264" s="8"/>
      <c r="CI264" s="8"/>
      <c r="CJ264" s="8"/>
      <c r="CK264" s="8"/>
      <c r="CL264" s="8"/>
      <c r="CM264" s="8"/>
      <c r="CN264" s="8"/>
      <c r="CO264" s="8"/>
      <c r="CP264" s="8"/>
      <c r="CQ264" s="8"/>
      <c r="CR264" s="8"/>
      <c r="CS264" s="8"/>
      <c r="CT264" s="8"/>
      <c r="CU264" s="8"/>
    </row>
    <row r="265" spans="1:99" x14ac:dyDescent="0.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c r="BI265" s="8"/>
      <c r="BJ265" s="8"/>
      <c r="BK265" s="8"/>
      <c r="BL265" s="8"/>
      <c r="BM265" s="8"/>
      <c r="BN265" s="8"/>
      <c r="BO265" s="8"/>
      <c r="BP265" s="8"/>
      <c r="BQ265" s="8"/>
      <c r="BR265" s="8"/>
      <c r="BS265" s="8"/>
      <c r="BT265" s="8"/>
      <c r="BU265" s="8"/>
      <c r="BV265" s="8"/>
      <c r="BW265" s="8"/>
      <c r="BX265" s="8"/>
      <c r="BY265" s="8"/>
      <c r="BZ265" s="8"/>
      <c r="CA265" s="8"/>
      <c r="CB265" s="8"/>
      <c r="CC265" s="8"/>
      <c r="CD265" s="8"/>
      <c r="CE265" s="8"/>
      <c r="CF265" s="8"/>
      <c r="CG265" s="8"/>
      <c r="CH265" s="8"/>
      <c r="CI265" s="8"/>
      <c r="CJ265" s="8"/>
      <c r="CK265" s="8"/>
      <c r="CL265" s="8"/>
      <c r="CM265" s="8"/>
      <c r="CN265" s="8"/>
      <c r="CO265" s="8"/>
      <c r="CP265" s="8"/>
      <c r="CQ265" s="8"/>
      <c r="CR265" s="8"/>
      <c r="CS265" s="8"/>
      <c r="CT265" s="8"/>
      <c r="CU265" s="8"/>
    </row>
    <row r="266" spans="1:99" x14ac:dyDescent="0.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c r="BI266" s="8"/>
      <c r="BJ266" s="8"/>
      <c r="BK266" s="8"/>
      <c r="BL266" s="8"/>
      <c r="BM266" s="8"/>
      <c r="BN266" s="8"/>
      <c r="BO266" s="8"/>
      <c r="BP266" s="8"/>
      <c r="BQ266" s="8"/>
      <c r="BR266" s="8"/>
      <c r="BS266" s="8"/>
      <c r="BT266" s="8"/>
      <c r="BU266" s="8"/>
      <c r="BV266" s="8"/>
      <c r="BW266" s="8"/>
      <c r="BX266" s="8"/>
      <c r="BY266" s="8"/>
      <c r="BZ266" s="8"/>
      <c r="CA266" s="8"/>
      <c r="CB266" s="8"/>
      <c r="CC266" s="8"/>
      <c r="CD266" s="8"/>
      <c r="CE266" s="8"/>
      <c r="CF266" s="8"/>
      <c r="CG266" s="8"/>
      <c r="CH266" s="8"/>
      <c r="CI266" s="8"/>
      <c r="CJ266" s="8"/>
      <c r="CK266" s="8"/>
      <c r="CL266" s="8"/>
      <c r="CM266" s="8"/>
      <c r="CN266" s="8"/>
      <c r="CO266" s="8"/>
      <c r="CP266" s="8"/>
      <c r="CQ266" s="8"/>
      <c r="CR266" s="8"/>
      <c r="CS266" s="8"/>
      <c r="CT266" s="8"/>
      <c r="CU266" s="8"/>
    </row>
    <row r="267" spans="1:99" x14ac:dyDescent="0.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c r="BI267" s="8"/>
      <c r="BJ267" s="8"/>
      <c r="BK267" s="8"/>
      <c r="BL267" s="8"/>
      <c r="BM267" s="8"/>
      <c r="BN267" s="8"/>
      <c r="BO267" s="8"/>
      <c r="BP267" s="8"/>
      <c r="BQ267" s="8"/>
      <c r="BR267" s="8"/>
      <c r="BS267" s="8"/>
      <c r="BT267" s="8"/>
      <c r="BU267" s="8"/>
      <c r="BV267" s="8"/>
      <c r="BW267" s="8"/>
      <c r="BX267" s="8"/>
      <c r="BY267" s="8"/>
      <c r="BZ267" s="8"/>
      <c r="CA267" s="8"/>
      <c r="CB267" s="8"/>
      <c r="CC267" s="8"/>
      <c r="CD267" s="8"/>
      <c r="CE267" s="8"/>
      <c r="CF267" s="8"/>
      <c r="CG267" s="8"/>
      <c r="CH267" s="8"/>
      <c r="CI267" s="8"/>
      <c r="CJ267" s="8"/>
      <c r="CK267" s="8"/>
      <c r="CL267" s="8"/>
      <c r="CM267" s="8"/>
      <c r="CN267" s="8"/>
      <c r="CO267" s="8"/>
      <c r="CP267" s="8"/>
      <c r="CQ267" s="8"/>
      <c r="CR267" s="8"/>
      <c r="CS267" s="8"/>
      <c r="CT267" s="8"/>
      <c r="CU267" s="8"/>
    </row>
    <row r="268" spans="1:99" x14ac:dyDescent="0.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c r="BI268" s="8"/>
      <c r="BJ268" s="8"/>
      <c r="BK268" s="8"/>
      <c r="BL268" s="8"/>
      <c r="BM268" s="8"/>
      <c r="BN268" s="8"/>
      <c r="BO268" s="8"/>
      <c r="BP268" s="8"/>
      <c r="BQ268" s="8"/>
      <c r="BR268" s="8"/>
      <c r="BS268" s="8"/>
      <c r="BT268" s="8"/>
      <c r="BU268" s="8"/>
      <c r="BV268" s="8"/>
      <c r="BW268" s="8"/>
      <c r="BX268" s="8"/>
      <c r="BY268" s="8"/>
      <c r="BZ268" s="8"/>
      <c r="CA268" s="8"/>
      <c r="CB268" s="8"/>
      <c r="CC268" s="8"/>
      <c r="CD268" s="8"/>
      <c r="CE268" s="8"/>
      <c r="CF268" s="8"/>
      <c r="CG268" s="8"/>
      <c r="CH268" s="8"/>
      <c r="CI268" s="8"/>
      <c r="CJ268" s="8"/>
      <c r="CK268" s="8"/>
      <c r="CL268" s="8"/>
      <c r="CM268" s="8"/>
      <c r="CN268" s="8"/>
      <c r="CO268" s="8"/>
      <c r="CP268" s="8"/>
      <c r="CQ268" s="8"/>
      <c r="CR268" s="8"/>
      <c r="CS268" s="8"/>
      <c r="CT268" s="8"/>
      <c r="CU268" s="8"/>
    </row>
    <row r="269" spans="1:99" x14ac:dyDescent="0.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c r="BI269" s="8"/>
      <c r="BJ269" s="8"/>
      <c r="BK269" s="8"/>
      <c r="BL269" s="8"/>
      <c r="BM269" s="8"/>
      <c r="BN269" s="8"/>
      <c r="BO269" s="8"/>
      <c r="BP269" s="8"/>
      <c r="BQ269" s="8"/>
      <c r="BR269" s="8"/>
      <c r="BS269" s="8"/>
      <c r="BT269" s="8"/>
      <c r="BU269" s="8"/>
      <c r="BV269" s="8"/>
      <c r="BW269" s="8"/>
      <c r="BX269" s="8"/>
      <c r="BY269" s="8"/>
      <c r="BZ269" s="8"/>
      <c r="CA269" s="8"/>
      <c r="CB269" s="8"/>
      <c r="CC269" s="8"/>
      <c r="CD269" s="8"/>
      <c r="CE269" s="8"/>
      <c r="CF269" s="8"/>
      <c r="CG269" s="8"/>
      <c r="CH269" s="8"/>
      <c r="CI269" s="8"/>
      <c r="CJ269" s="8"/>
      <c r="CK269" s="8"/>
      <c r="CL269" s="8"/>
      <c r="CM269" s="8"/>
      <c r="CN269" s="8"/>
      <c r="CO269" s="8"/>
      <c r="CP269" s="8"/>
      <c r="CQ269" s="8"/>
      <c r="CR269" s="8"/>
      <c r="CS269" s="8"/>
      <c r="CT269" s="8"/>
      <c r="CU269" s="8"/>
    </row>
    <row r="270" spans="1:99" x14ac:dyDescent="0.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8"/>
      <c r="BW270" s="8"/>
      <c r="BX270" s="8"/>
      <c r="BY270" s="8"/>
      <c r="BZ270" s="8"/>
      <c r="CA270" s="8"/>
      <c r="CB270" s="8"/>
      <c r="CC270" s="8"/>
      <c r="CD270" s="8"/>
      <c r="CE270" s="8"/>
      <c r="CF270" s="8"/>
      <c r="CG270" s="8"/>
      <c r="CH270" s="8"/>
      <c r="CI270" s="8"/>
      <c r="CJ270" s="8"/>
      <c r="CK270" s="8"/>
      <c r="CL270" s="8"/>
      <c r="CM270" s="8"/>
      <c r="CN270" s="8"/>
      <c r="CO270" s="8"/>
      <c r="CP270" s="8"/>
      <c r="CQ270" s="8"/>
      <c r="CR270" s="8"/>
      <c r="CS270" s="8"/>
      <c r="CT270" s="8"/>
      <c r="CU270" s="8"/>
    </row>
    <row r="271" spans="1:99" x14ac:dyDescent="0.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c r="BI271" s="8"/>
      <c r="BJ271" s="8"/>
      <c r="BK271" s="8"/>
      <c r="BL271" s="8"/>
      <c r="BM271" s="8"/>
      <c r="BN271" s="8"/>
      <c r="BO271" s="8"/>
      <c r="BP271" s="8"/>
      <c r="BQ271" s="8"/>
      <c r="BR271" s="8"/>
      <c r="BS271" s="8"/>
      <c r="BT271" s="8"/>
      <c r="BU271" s="8"/>
      <c r="BV271" s="8"/>
      <c r="BW271" s="8"/>
      <c r="BX271" s="8"/>
      <c r="BY271" s="8"/>
      <c r="BZ271" s="8"/>
      <c r="CA271" s="8"/>
      <c r="CB271" s="8"/>
      <c r="CC271" s="8"/>
      <c r="CD271" s="8"/>
      <c r="CE271" s="8"/>
      <c r="CF271" s="8"/>
      <c r="CG271" s="8"/>
      <c r="CH271" s="8"/>
      <c r="CI271" s="8"/>
      <c r="CJ271" s="8"/>
      <c r="CK271" s="8"/>
      <c r="CL271" s="8"/>
      <c r="CM271" s="8"/>
      <c r="CN271" s="8"/>
      <c r="CO271" s="8"/>
      <c r="CP271" s="8"/>
      <c r="CQ271" s="8"/>
      <c r="CR271" s="8"/>
      <c r="CS271" s="8"/>
      <c r="CT271" s="8"/>
      <c r="CU271" s="8"/>
    </row>
    <row r="272" spans="1:99" x14ac:dyDescent="0.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c r="BI272" s="8"/>
      <c r="BJ272" s="8"/>
      <c r="BK272" s="8"/>
      <c r="BL272" s="8"/>
      <c r="BM272" s="8"/>
      <c r="BN272" s="8"/>
      <c r="BO272" s="8"/>
      <c r="BP272" s="8"/>
      <c r="BQ272" s="8"/>
      <c r="BR272" s="8"/>
      <c r="BS272" s="8"/>
      <c r="BT272" s="8"/>
      <c r="BU272" s="8"/>
      <c r="BV272" s="8"/>
      <c r="BW272" s="8"/>
      <c r="BX272" s="8"/>
      <c r="BY272" s="8"/>
      <c r="BZ272" s="8"/>
      <c r="CA272" s="8"/>
      <c r="CB272" s="8"/>
      <c r="CC272" s="8"/>
      <c r="CD272" s="8"/>
      <c r="CE272" s="8"/>
      <c r="CF272" s="8"/>
      <c r="CG272" s="8"/>
      <c r="CH272" s="8"/>
      <c r="CI272" s="8"/>
      <c r="CJ272" s="8"/>
      <c r="CK272" s="8"/>
      <c r="CL272" s="8"/>
      <c r="CM272" s="8"/>
      <c r="CN272" s="8"/>
      <c r="CO272" s="8"/>
      <c r="CP272" s="8"/>
      <c r="CQ272" s="8"/>
      <c r="CR272" s="8"/>
      <c r="CS272" s="8"/>
      <c r="CT272" s="8"/>
      <c r="CU272" s="8"/>
    </row>
    <row r="273" spans="1:99" x14ac:dyDescent="0.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c r="BI273" s="8"/>
      <c r="BJ273" s="8"/>
      <c r="BK273" s="8"/>
      <c r="BL273" s="8"/>
      <c r="BM273" s="8"/>
      <c r="BN273" s="8"/>
      <c r="BO273" s="8"/>
      <c r="BP273" s="8"/>
      <c r="BQ273" s="8"/>
      <c r="BR273" s="8"/>
      <c r="BS273" s="8"/>
      <c r="BT273" s="8"/>
      <c r="BU273" s="8"/>
      <c r="BV273" s="8"/>
      <c r="BW273" s="8"/>
      <c r="BX273" s="8"/>
      <c r="BY273" s="8"/>
      <c r="BZ273" s="8"/>
      <c r="CA273" s="8"/>
      <c r="CB273" s="8"/>
      <c r="CC273" s="8"/>
      <c r="CD273" s="8"/>
      <c r="CE273" s="8"/>
      <c r="CF273" s="8"/>
      <c r="CG273" s="8"/>
      <c r="CH273" s="8"/>
      <c r="CI273" s="8"/>
      <c r="CJ273" s="8"/>
      <c r="CK273" s="8"/>
      <c r="CL273" s="8"/>
      <c r="CM273" s="8"/>
      <c r="CN273" s="8"/>
      <c r="CO273" s="8"/>
      <c r="CP273" s="8"/>
      <c r="CQ273" s="8"/>
      <c r="CR273" s="8"/>
      <c r="CS273" s="8"/>
      <c r="CT273" s="8"/>
      <c r="CU273" s="8"/>
    </row>
    <row r="274" spans="1:99" x14ac:dyDescent="0.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c r="AS274" s="8"/>
      <c r="AT274" s="8"/>
      <c r="AU274" s="8"/>
      <c r="AV274" s="8"/>
      <c r="AW274" s="8"/>
      <c r="AX274" s="8"/>
      <c r="AY274" s="8"/>
      <c r="AZ274" s="8"/>
      <c r="BA274" s="8"/>
      <c r="BB274" s="8"/>
      <c r="BC274" s="8"/>
      <c r="BD274" s="8"/>
      <c r="BE274" s="8"/>
      <c r="BF274" s="8"/>
      <c r="BG274" s="8"/>
      <c r="BH274" s="8"/>
      <c r="BI274" s="8"/>
      <c r="BJ274" s="8"/>
      <c r="BK274" s="8"/>
      <c r="BL274" s="8"/>
      <c r="BM274" s="8"/>
      <c r="BN274" s="8"/>
      <c r="BO274" s="8"/>
      <c r="BP274" s="8"/>
      <c r="BQ274" s="8"/>
      <c r="BR274" s="8"/>
      <c r="BS274" s="8"/>
      <c r="BT274" s="8"/>
      <c r="BU274" s="8"/>
      <c r="BV274" s="8"/>
      <c r="BW274" s="8"/>
      <c r="BX274" s="8"/>
      <c r="BY274" s="8"/>
      <c r="BZ274" s="8"/>
      <c r="CA274" s="8"/>
      <c r="CB274" s="8"/>
      <c r="CC274" s="8"/>
      <c r="CD274" s="8"/>
      <c r="CE274" s="8"/>
      <c r="CF274" s="8"/>
      <c r="CG274" s="8"/>
      <c r="CH274" s="8"/>
      <c r="CI274" s="8"/>
      <c r="CJ274" s="8"/>
      <c r="CK274" s="8"/>
      <c r="CL274" s="8"/>
      <c r="CM274" s="8"/>
      <c r="CN274" s="8"/>
      <c r="CO274" s="8"/>
      <c r="CP274" s="8"/>
      <c r="CQ274" s="8"/>
      <c r="CR274" s="8"/>
      <c r="CS274" s="8"/>
      <c r="CT274" s="8"/>
      <c r="CU274" s="8"/>
    </row>
    <row r="275" spans="1:99" x14ac:dyDescent="0.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c r="AS275" s="8"/>
      <c r="AT275" s="8"/>
      <c r="AU275" s="8"/>
      <c r="AV275" s="8"/>
      <c r="AW275" s="8"/>
      <c r="AX275" s="8"/>
      <c r="AY275" s="8"/>
      <c r="AZ275" s="8"/>
      <c r="BA275" s="8"/>
      <c r="BB275" s="8"/>
      <c r="BC275" s="8"/>
      <c r="BD275" s="8"/>
      <c r="BE275" s="8"/>
      <c r="BF275" s="8"/>
      <c r="BG275" s="8"/>
      <c r="BH275" s="8"/>
      <c r="BI275" s="8"/>
      <c r="BJ275" s="8"/>
      <c r="BK275" s="8"/>
      <c r="BL275" s="8"/>
      <c r="BM275" s="8"/>
      <c r="BN275" s="8"/>
      <c r="BO275" s="8"/>
      <c r="BP275" s="8"/>
      <c r="BQ275" s="8"/>
      <c r="BR275" s="8"/>
      <c r="BS275" s="8"/>
      <c r="BT275" s="8"/>
      <c r="BU275" s="8"/>
      <c r="BV275" s="8"/>
      <c r="BW275" s="8"/>
      <c r="BX275" s="8"/>
      <c r="BY275" s="8"/>
      <c r="BZ275" s="8"/>
      <c r="CA275" s="8"/>
      <c r="CB275" s="8"/>
      <c r="CC275" s="8"/>
      <c r="CD275" s="8"/>
      <c r="CE275" s="8"/>
      <c r="CF275" s="8"/>
      <c r="CG275" s="8"/>
      <c r="CH275" s="8"/>
      <c r="CI275" s="8"/>
      <c r="CJ275" s="8"/>
      <c r="CK275" s="8"/>
      <c r="CL275" s="8"/>
      <c r="CM275" s="8"/>
      <c r="CN275" s="8"/>
      <c r="CO275" s="8"/>
      <c r="CP275" s="8"/>
      <c r="CQ275" s="8"/>
      <c r="CR275" s="8"/>
      <c r="CS275" s="8"/>
      <c r="CT275" s="8"/>
      <c r="CU275" s="8"/>
    </row>
    <row r="276" spans="1:99" x14ac:dyDescent="0.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c r="BA276" s="8"/>
      <c r="BB276" s="8"/>
      <c r="BC276" s="8"/>
      <c r="BD276" s="8"/>
      <c r="BE276" s="8"/>
      <c r="BF276" s="8"/>
      <c r="BG276" s="8"/>
      <c r="BH276" s="8"/>
      <c r="BI276" s="8"/>
      <c r="BJ276" s="8"/>
      <c r="BK276" s="8"/>
      <c r="BL276" s="8"/>
      <c r="BM276" s="8"/>
      <c r="BN276" s="8"/>
      <c r="BO276" s="8"/>
      <c r="BP276" s="8"/>
      <c r="BQ276" s="8"/>
      <c r="BR276" s="8"/>
      <c r="BS276" s="8"/>
      <c r="BT276" s="8"/>
      <c r="BU276" s="8"/>
      <c r="BV276" s="8"/>
      <c r="BW276" s="8"/>
      <c r="BX276" s="8"/>
      <c r="BY276" s="8"/>
      <c r="BZ276" s="8"/>
      <c r="CA276" s="8"/>
      <c r="CB276" s="8"/>
      <c r="CC276" s="8"/>
      <c r="CD276" s="8"/>
      <c r="CE276" s="8"/>
      <c r="CF276" s="8"/>
      <c r="CG276" s="8"/>
      <c r="CH276" s="8"/>
      <c r="CI276" s="8"/>
      <c r="CJ276" s="8"/>
      <c r="CK276" s="8"/>
      <c r="CL276" s="8"/>
      <c r="CM276" s="8"/>
      <c r="CN276" s="8"/>
      <c r="CO276" s="8"/>
      <c r="CP276" s="8"/>
      <c r="CQ276" s="8"/>
      <c r="CR276" s="8"/>
      <c r="CS276" s="8"/>
      <c r="CT276" s="8"/>
      <c r="CU276" s="8"/>
    </row>
    <row r="277" spans="1:99" x14ac:dyDescent="0.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c r="BB277" s="8"/>
      <c r="BC277" s="8"/>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c r="CG277" s="8"/>
      <c r="CH277" s="8"/>
      <c r="CI277" s="8"/>
      <c r="CJ277" s="8"/>
      <c r="CK277" s="8"/>
      <c r="CL277" s="8"/>
      <c r="CM277" s="8"/>
      <c r="CN277" s="8"/>
      <c r="CO277" s="8"/>
      <c r="CP277" s="8"/>
      <c r="CQ277" s="8"/>
      <c r="CR277" s="8"/>
      <c r="CS277" s="8"/>
      <c r="CT277" s="8"/>
      <c r="CU277" s="8"/>
    </row>
    <row r="278" spans="1:99" x14ac:dyDescent="0.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c r="CG278" s="8"/>
      <c r="CH278" s="8"/>
      <c r="CI278" s="8"/>
      <c r="CJ278" s="8"/>
      <c r="CK278" s="8"/>
      <c r="CL278" s="8"/>
      <c r="CM278" s="8"/>
      <c r="CN278" s="8"/>
      <c r="CO278" s="8"/>
      <c r="CP278" s="8"/>
      <c r="CQ278" s="8"/>
      <c r="CR278" s="8"/>
      <c r="CS278" s="8"/>
      <c r="CT278" s="8"/>
      <c r="CU278" s="8"/>
    </row>
    <row r="279" spans="1:99" x14ac:dyDescent="0.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8"/>
      <c r="BH279" s="8"/>
      <c r="BI279" s="8"/>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c r="CH279" s="8"/>
      <c r="CI279" s="8"/>
      <c r="CJ279" s="8"/>
      <c r="CK279" s="8"/>
      <c r="CL279" s="8"/>
      <c r="CM279" s="8"/>
      <c r="CN279" s="8"/>
      <c r="CO279" s="8"/>
      <c r="CP279" s="8"/>
      <c r="CQ279" s="8"/>
      <c r="CR279" s="8"/>
      <c r="CS279" s="8"/>
      <c r="CT279" s="8"/>
      <c r="CU279" s="8"/>
    </row>
    <row r="280" spans="1:99" x14ac:dyDescent="0.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row>
    <row r="281" spans="1:99" x14ac:dyDescent="0.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c r="CG281" s="8"/>
      <c r="CH281" s="8"/>
      <c r="CI281" s="8"/>
      <c r="CJ281" s="8"/>
      <c r="CK281" s="8"/>
      <c r="CL281" s="8"/>
      <c r="CM281" s="8"/>
      <c r="CN281" s="8"/>
      <c r="CO281" s="8"/>
      <c r="CP281" s="8"/>
      <c r="CQ281" s="8"/>
      <c r="CR281" s="8"/>
      <c r="CS281" s="8"/>
      <c r="CT281" s="8"/>
      <c r="CU281" s="8"/>
    </row>
    <row r="282" spans="1:99" x14ac:dyDescent="0.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c r="CG282" s="8"/>
      <c r="CH282" s="8"/>
      <c r="CI282" s="8"/>
      <c r="CJ282" s="8"/>
      <c r="CK282" s="8"/>
      <c r="CL282" s="8"/>
      <c r="CM282" s="8"/>
      <c r="CN282" s="8"/>
      <c r="CO282" s="8"/>
      <c r="CP282" s="8"/>
      <c r="CQ282" s="8"/>
      <c r="CR282" s="8"/>
      <c r="CS282" s="8"/>
      <c r="CT282" s="8"/>
      <c r="CU282" s="8"/>
    </row>
    <row r="283" spans="1:99" x14ac:dyDescent="0.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c r="CH283" s="8"/>
      <c r="CI283" s="8"/>
      <c r="CJ283" s="8"/>
      <c r="CK283" s="8"/>
      <c r="CL283" s="8"/>
      <c r="CM283" s="8"/>
      <c r="CN283" s="8"/>
      <c r="CO283" s="8"/>
      <c r="CP283" s="8"/>
      <c r="CQ283" s="8"/>
      <c r="CR283" s="8"/>
      <c r="CS283" s="8"/>
      <c r="CT283" s="8"/>
      <c r="CU283" s="8"/>
    </row>
    <row r="284" spans="1:99" x14ac:dyDescent="0.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c r="CG284" s="8"/>
      <c r="CH284" s="8"/>
      <c r="CI284" s="8"/>
      <c r="CJ284" s="8"/>
      <c r="CK284" s="8"/>
      <c r="CL284" s="8"/>
      <c r="CM284" s="8"/>
      <c r="CN284" s="8"/>
      <c r="CO284" s="8"/>
      <c r="CP284" s="8"/>
      <c r="CQ284" s="8"/>
      <c r="CR284" s="8"/>
      <c r="CS284" s="8"/>
      <c r="CT284" s="8"/>
      <c r="CU284" s="8"/>
    </row>
    <row r="285" spans="1:99" x14ac:dyDescent="0.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c r="CG285" s="8"/>
      <c r="CH285" s="8"/>
      <c r="CI285" s="8"/>
      <c r="CJ285" s="8"/>
      <c r="CK285" s="8"/>
      <c r="CL285" s="8"/>
      <c r="CM285" s="8"/>
      <c r="CN285" s="8"/>
      <c r="CO285" s="8"/>
      <c r="CP285" s="8"/>
      <c r="CQ285" s="8"/>
      <c r="CR285" s="8"/>
      <c r="CS285" s="8"/>
      <c r="CT285" s="8"/>
      <c r="CU285" s="8"/>
    </row>
    <row r="286" spans="1:99" x14ac:dyDescent="0.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8"/>
      <c r="BW286" s="8"/>
      <c r="BX286" s="8"/>
      <c r="BY286" s="8"/>
      <c r="BZ286" s="8"/>
      <c r="CA286" s="8"/>
      <c r="CB286" s="8"/>
      <c r="CC286" s="8"/>
      <c r="CD286" s="8"/>
      <c r="CE286" s="8"/>
      <c r="CF286" s="8"/>
      <c r="CG286" s="8"/>
      <c r="CH286" s="8"/>
      <c r="CI286" s="8"/>
      <c r="CJ286" s="8"/>
      <c r="CK286" s="8"/>
      <c r="CL286" s="8"/>
      <c r="CM286" s="8"/>
      <c r="CN286" s="8"/>
      <c r="CO286" s="8"/>
      <c r="CP286" s="8"/>
      <c r="CQ286" s="8"/>
      <c r="CR286" s="8"/>
      <c r="CS286" s="8"/>
      <c r="CT286" s="8"/>
      <c r="CU286" s="8"/>
    </row>
    <row r="287" spans="1:99" x14ac:dyDescent="0.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c r="CG287" s="8"/>
      <c r="CH287" s="8"/>
      <c r="CI287" s="8"/>
      <c r="CJ287" s="8"/>
      <c r="CK287" s="8"/>
      <c r="CL287" s="8"/>
      <c r="CM287" s="8"/>
      <c r="CN287" s="8"/>
      <c r="CO287" s="8"/>
      <c r="CP287" s="8"/>
      <c r="CQ287" s="8"/>
      <c r="CR287" s="8"/>
      <c r="CS287" s="8"/>
      <c r="CT287" s="8"/>
      <c r="CU287" s="8"/>
    </row>
    <row r="288" spans="1:99" x14ac:dyDescent="0.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c r="BI288" s="8"/>
      <c r="BJ288" s="8"/>
      <c r="BK288" s="8"/>
      <c r="BL288" s="8"/>
      <c r="BM288" s="8"/>
      <c r="BN288" s="8"/>
      <c r="BO288" s="8"/>
      <c r="BP288" s="8"/>
      <c r="BQ288" s="8"/>
      <c r="BR288" s="8"/>
      <c r="BS288" s="8"/>
      <c r="BT288" s="8"/>
      <c r="BU288" s="8"/>
      <c r="BV288" s="8"/>
      <c r="BW288" s="8"/>
      <c r="BX288" s="8"/>
      <c r="BY288" s="8"/>
      <c r="BZ288" s="8"/>
      <c r="CA288" s="8"/>
      <c r="CB288" s="8"/>
      <c r="CC288" s="8"/>
      <c r="CD288" s="8"/>
      <c r="CE288" s="8"/>
      <c r="CF288" s="8"/>
      <c r="CG288" s="8"/>
      <c r="CH288" s="8"/>
      <c r="CI288" s="8"/>
      <c r="CJ288" s="8"/>
      <c r="CK288" s="8"/>
      <c r="CL288" s="8"/>
      <c r="CM288" s="8"/>
      <c r="CN288" s="8"/>
      <c r="CO288" s="8"/>
      <c r="CP288" s="8"/>
      <c r="CQ288" s="8"/>
      <c r="CR288" s="8"/>
      <c r="CS288" s="8"/>
      <c r="CT288" s="8"/>
      <c r="CU288" s="8"/>
    </row>
    <row r="289" spans="1:99" x14ac:dyDescent="0.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c r="CG289" s="8"/>
      <c r="CH289" s="8"/>
      <c r="CI289" s="8"/>
      <c r="CJ289" s="8"/>
      <c r="CK289" s="8"/>
      <c r="CL289" s="8"/>
      <c r="CM289" s="8"/>
      <c r="CN289" s="8"/>
      <c r="CO289" s="8"/>
      <c r="CP289" s="8"/>
      <c r="CQ289" s="8"/>
      <c r="CR289" s="8"/>
      <c r="CS289" s="8"/>
      <c r="CT289" s="8"/>
      <c r="CU289" s="8"/>
    </row>
    <row r="290" spans="1:99"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row>
    <row r="291" spans="1:99" x14ac:dyDescent="0.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c r="CG291" s="8"/>
      <c r="CH291" s="8"/>
      <c r="CI291" s="8"/>
      <c r="CJ291" s="8"/>
      <c r="CK291" s="8"/>
      <c r="CL291" s="8"/>
      <c r="CM291" s="8"/>
      <c r="CN291" s="8"/>
      <c r="CO291" s="8"/>
      <c r="CP291" s="8"/>
      <c r="CQ291" s="8"/>
      <c r="CR291" s="8"/>
      <c r="CS291" s="8"/>
      <c r="CT291" s="8"/>
      <c r="CU291" s="8"/>
    </row>
    <row r="292" spans="1:99" x14ac:dyDescent="0.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c r="BI292" s="8"/>
      <c r="BJ292" s="8"/>
      <c r="BK292" s="8"/>
      <c r="BL292" s="8"/>
      <c r="BM292" s="8"/>
      <c r="BN292" s="8"/>
      <c r="BO292" s="8"/>
      <c r="BP292" s="8"/>
      <c r="BQ292" s="8"/>
      <c r="BR292" s="8"/>
      <c r="BS292" s="8"/>
      <c r="BT292" s="8"/>
      <c r="BU292" s="8"/>
      <c r="BV292" s="8"/>
      <c r="BW292" s="8"/>
      <c r="BX292" s="8"/>
      <c r="BY292" s="8"/>
      <c r="BZ292" s="8"/>
      <c r="CA292" s="8"/>
      <c r="CB292" s="8"/>
      <c r="CC292" s="8"/>
      <c r="CD292" s="8"/>
      <c r="CE292" s="8"/>
      <c r="CF292" s="8"/>
      <c r="CG292" s="8"/>
      <c r="CH292" s="8"/>
      <c r="CI292" s="8"/>
      <c r="CJ292" s="8"/>
      <c r="CK292" s="8"/>
      <c r="CL292" s="8"/>
      <c r="CM292" s="8"/>
      <c r="CN292" s="8"/>
      <c r="CO292" s="8"/>
      <c r="CP292" s="8"/>
      <c r="CQ292" s="8"/>
      <c r="CR292" s="8"/>
      <c r="CS292" s="8"/>
      <c r="CT292" s="8"/>
      <c r="CU292" s="8"/>
    </row>
    <row r="293" spans="1:99" x14ac:dyDescent="0.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row>
    <row r="294" spans="1:99" x14ac:dyDescent="0.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c r="CG294" s="8"/>
      <c r="CH294" s="8"/>
      <c r="CI294" s="8"/>
      <c r="CJ294" s="8"/>
      <c r="CK294" s="8"/>
      <c r="CL294" s="8"/>
      <c r="CM294" s="8"/>
      <c r="CN294" s="8"/>
      <c r="CO294" s="8"/>
      <c r="CP294" s="8"/>
      <c r="CQ294" s="8"/>
      <c r="CR294" s="8"/>
      <c r="CS294" s="8"/>
      <c r="CT294" s="8"/>
      <c r="CU294" s="8"/>
    </row>
    <row r="295" spans="1:99" x14ac:dyDescent="0.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c r="CG295" s="8"/>
      <c r="CH295" s="8"/>
      <c r="CI295" s="8"/>
      <c r="CJ295" s="8"/>
      <c r="CK295" s="8"/>
      <c r="CL295" s="8"/>
      <c r="CM295" s="8"/>
      <c r="CN295" s="8"/>
      <c r="CO295" s="8"/>
      <c r="CP295" s="8"/>
      <c r="CQ295" s="8"/>
      <c r="CR295" s="8"/>
      <c r="CS295" s="8"/>
      <c r="CT295" s="8"/>
      <c r="CU295" s="8"/>
    </row>
    <row r="296" spans="1:99" x14ac:dyDescent="0.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c r="CG296" s="8"/>
      <c r="CH296" s="8"/>
      <c r="CI296" s="8"/>
      <c r="CJ296" s="8"/>
      <c r="CK296" s="8"/>
      <c r="CL296" s="8"/>
      <c r="CM296" s="8"/>
      <c r="CN296" s="8"/>
      <c r="CO296" s="8"/>
      <c r="CP296" s="8"/>
      <c r="CQ296" s="8"/>
      <c r="CR296" s="8"/>
      <c r="CS296" s="8"/>
      <c r="CT296" s="8"/>
      <c r="CU296" s="8"/>
    </row>
    <row r="297" spans="1:99" x14ac:dyDescent="0.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c r="CG297" s="8"/>
      <c r="CH297" s="8"/>
      <c r="CI297" s="8"/>
      <c r="CJ297" s="8"/>
      <c r="CK297" s="8"/>
      <c r="CL297" s="8"/>
      <c r="CM297" s="8"/>
      <c r="CN297" s="8"/>
      <c r="CO297" s="8"/>
      <c r="CP297" s="8"/>
      <c r="CQ297" s="8"/>
      <c r="CR297" s="8"/>
      <c r="CS297" s="8"/>
      <c r="CT297" s="8"/>
      <c r="CU297" s="8"/>
    </row>
    <row r="298" spans="1:99" x14ac:dyDescent="0.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8"/>
      <c r="CL298" s="8"/>
      <c r="CM298" s="8"/>
      <c r="CN298" s="8"/>
      <c r="CO298" s="8"/>
      <c r="CP298" s="8"/>
      <c r="CQ298" s="8"/>
      <c r="CR298" s="8"/>
      <c r="CS298" s="8"/>
      <c r="CT298" s="8"/>
      <c r="CU298" s="8"/>
    </row>
    <row r="299" spans="1:99" x14ac:dyDescent="0.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c r="CG299" s="8"/>
      <c r="CH299" s="8"/>
      <c r="CI299" s="8"/>
      <c r="CJ299" s="8"/>
      <c r="CK299" s="8"/>
      <c r="CL299" s="8"/>
      <c r="CM299" s="8"/>
      <c r="CN299" s="8"/>
      <c r="CO299" s="8"/>
      <c r="CP299" s="8"/>
      <c r="CQ299" s="8"/>
      <c r="CR299" s="8"/>
      <c r="CS299" s="8"/>
      <c r="CT299" s="8"/>
      <c r="CU299" s="8"/>
    </row>
    <row r="300" spans="1:99" x14ac:dyDescent="0.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c r="CG300" s="8"/>
      <c r="CH300" s="8"/>
      <c r="CI300" s="8"/>
      <c r="CJ300" s="8"/>
      <c r="CK300" s="8"/>
      <c r="CL300" s="8"/>
      <c r="CM300" s="8"/>
      <c r="CN300" s="8"/>
      <c r="CO300" s="8"/>
      <c r="CP300" s="8"/>
      <c r="CQ300" s="8"/>
      <c r="CR300" s="8"/>
      <c r="CS300" s="8"/>
      <c r="CT300" s="8"/>
      <c r="CU300" s="8"/>
    </row>
    <row r="301" spans="1:99" x14ac:dyDescent="0.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c r="CG301" s="8"/>
      <c r="CH301" s="8"/>
      <c r="CI301" s="8"/>
      <c r="CJ301" s="8"/>
      <c r="CK301" s="8"/>
      <c r="CL301" s="8"/>
      <c r="CM301" s="8"/>
      <c r="CN301" s="8"/>
      <c r="CO301" s="8"/>
      <c r="CP301" s="8"/>
      <c r="CQ301" s="8"/>
      <c r="CR301" s="8"/>
      <c r="CS301" s="8"/>
      <c r="CT301" s="8"/>
      <c r="CU301" s="8"/>
    </row>
    <row r="302" spans="1:99" x14ac:dyDescent="0.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c r="CG302" s="8"/>
      <c r="CH302" s="8"/>
      <c r="CI302" s="8"/>
      <c r="CJ302" s="8"/>
      <c r="CK302" s="8"/>
      <c r="CL302" s="8"/>
      <c r="CM302" s="8"/>
      <c r="CN302" s="8"/>
      <c r="CO302" s="8"/>
      <c r="CP302" s="8"/>
      <c r="CQ302" s="8"/>
      <c r="CR302" s="8"/>
      <c r="CS302" s="8"/>
      <c r="CT302" s="8"/>
      <c r="CU302" s="8"/>
    </row>
    <row r="303" spans="1:99" x14ac:dyDescent="0.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8"/>
      <c r="CL303" s="8"/>
      <c r="CM303" s="8"/>
      <c r="CN303" s="8"/>
      <c r="CO303" s="8"/>
      <c r="CP303" s="8"/>
      <c r="CQ303" s="8"/>
      <c r="CR303" s="8"/>
      <c r="CS303" s="8"/>
      <c r="CT303" s="8"/>
      <c r="CU303" s="8"/>
    </row>
    <row r="304" spans="1:99" x14ac:dyDescent="0.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8"/>
      <c r="CL304" s="8"/>
      <c r="CM304" s="8"/>
      <c r="CN304" s="8"/>
      <c r="CO304" s="8"/>
      <c r="CP304" s="8"/>
      <c r="CQ304" s="8"/>
      <c r="CR304" s="8"/>
      <c r="CS304" s="8"/>
      <c r="CT304" s="8"/>
      <c r="CU304" s="8"/>
    </row>
    <row r="305" spans="1:99" x14ac:dyDescent="0.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c r="BI305" s="8"/>
      <c r="BJ305" s="8"/>
      <c r="BK305" s="8"/>
      <c r="BL305" s="8"/>
      <c r="BM305" s="8"/>
      <c r="BN305" s="8"/>
      <c r="BO305" s="8"/>
      <c r="BP305" s="8"/>
      <c r="BQ305" s="8"/>
      <c r="BR305" s="8"/>
      <c r="BS305" s="8"/>
      <c r="BT305" s="8"/>
      <c r="BU305" s="8"/>
      <c r="BV305" s="8"/>
      <c r="BW305" s="8"/>
      <c r="BX305" s="8"/>
      <c r="BY305" s="8"/>
      <c r="BZ305" s="8"/>
      <c r="CA305" s="8"/>
      <c r="CB305" s="8"/>
      <c r="CC305" s="8"/>
      <c r="CD305" s="8"/>
      <c r="CE305" s="8"/>
      <c r="CF305" s="8"/>
      <c r="CG305" s="8"/>
      <c r="CH305" s="8"/>
      <c r="CI305" s="8"/>
      <c r="CJ305" s="8"/>
      <c r="CK305" s="8"/>
      <c r="CL305" s="8"/>
      <c r="CM305" s="8"/>
      <c r="CN305" s="8"/>
      <c r="CO305" s="8"/>
      <c r="CP305" s="8"/>
      <c r="CQ305" s="8"/>
      <c r="CR305" s="8"/>
      <c r="CS305" s="8"/>
      <c r="CT305" s="8"/>
      <c r="CU305" s="8"/>
    </row>
    <row r="306" spans="1:99" x14ac:dyDescent="0.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c r="CG306" s="8"/>
      <c r="CH306" s="8"/>
      <c r="CI306" s="8"/>
      <c r="CJ306" s="8"/>
      <c r="CK306" s="8"/>
      <c r="CL306" s="8"/>
      <c r="CM306" s="8"/>
      <c r="CN306" s="8"/>
      <c r="CO306" s="8"/>
      <c r="CP306" s="8"/>
      <c r="CQ306" s="8"/>
      <c r="CR306" s="8"/>
      <c r="CS306" s="8"/>
      <c r="CT306" s="8"/>
      <c r="CU306" s="8"/>
    </row>
    <row r="307" spans="1:99" x14ac:dyDescent="0.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c r="CG307" s="8"/>
      <c r="CH307" s="8"/>
      <c r="CI307" s="8"/>
      <c r="CJ307" s="8"/>
      <c r="CK307" s="8"/>
      <c r="CL307" s="8"/>
      <c r="CM307" s="8"/>
      <c r="CN307" s="8"/>
      <c r="CO307" s="8"/>
      <c r="CP307" s="8"/>
      <c r="CQ307" s="8"/>
      <c r="CR307" s="8"/>
      <c r="CS307" s="8"/>
      <c r="CT307" s="8"/>
      <c r="CU307" s="8"/>
    </row>
    <row r="308" spans="1:99" x14ac:dyDescent="0.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c r="BI308" s="8"/>
      <c r="BJ308" s="8"/>
      <c r="BK308" s="8"/>
      <c r="BL308" s="8"/>
      <c r="BM308" s="8"/>
      <c r="BN308" s="8"/>
      <c r="BO308" s="8"/>
      <c r="BP308" s="8"/>
      <c r="BQ308" s="8"/>
      <c r="BR308" s="8"/>
      <c r="BS308" s="8"/>
      <c r="BT308" s="8"/>
      <c r="BU308" s="8"/>
      <c r="BV308" s="8"/>
      <c r="BW308" s="8"/>
      <c r="BX308" s="8"/>
      <c r="BY308" s="8"/>
      <c r="BZ308" s="8"/>
      <c r="CA308" s="8"/>
      <c r="CB308" s="8"/>
      <c r="CC308" s="8"/>
      <c r="CD308" s="8"/>
      <c r="CE308" s="8"/>
      <c r="CF308" s="8"/>
      <c r="CG308" s="8"/>
      <c r="CH308" s="8"/>
      <c r="CI308" s="8"/>
      <c r="CJ308" s="8"/>
      <c r="CK308" s="8"/>
      <c r="CL308" s="8"/>
      <c r="CM308" s="8"/>
      <c r="CN308" s="8"/>
      <c r="CO308" s="8"/>
      <c r="CP308" s="8"/>
      <c r="CQ308" s="8"/>
      <c r="CR308" s="8"/>
      <c r="CS308" s="8"/>
      <c r="CT308" s="8"/>
      <c r="CU308" s="8"/>
    </row>
    <row r="309" spans="1:99" x14ac:dyDescent="0.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c r="BI309" s="8"/>
      <c r="BJ309" s="8"/>
      <c r="BK309" s="8"/>
      <c r="BL309" s="8"/>
      <c r="BM309" s="8"/>
      <c r="BN309" s="8"/>
      <c r="BO309" s="8"/>
      <c r="BP309" s="8"/>
      <c r="BQ309" s="8"/>
      <c r="BR309" s="8"/>
      <c r="BS309" s="8"/>
      <c r="BT309" s="8"/>
      <c r="BU309" s="8"/>
      <c r="BV309" s="8"/>
      <c r="BW309" s="8"/>
      <c r="BX309" s="8"/>
      <c r="BY309" s="8"/>
      <c r="BZ309" s="8"/>
      <c r="CA309" s="8"/>
      <c r="CB309" s="8"/>
      <c r="CC309" s="8"/>
      <c r="CD309" s="8"/>
      <c r="CE309" s="8"/>
      <c r="CF309" s="8"/>
      <c r="CG309" s="8"/>
      <c r="CH309" s="8"/>
      <c r="CI309" s="8"/>
      <c r="CJ309" s="8"/>
      <c r="CK309" s="8"/>
      <c r="CL309" s="8"/>
      <c r="CM309" s="8"/>
      <c r="CN309" s="8"/>
      <c r="CO309" s="8"/>
      <c r="CP309" s="8"/>
      <c r="CQ309" s="8"/>
      <c r="CR309" s="8"/>
      <c r="CS309" s="8"/>
      <c r="CT309" s="8"/>
      <c r="CU309" s="8"/>
    </row>
    <row r="310" spans="1:99" x14ac:dyDescent="0.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8"/>
      <c r="BW310" s="8"/>
      <c r="BX310" s="8"/>
      <c r="BY310" s="8"/>
      <c r="BZ310" s="8"/>
      <c r="CA310" s="8"/>
      <c r="CB310" s="8"/>
      <c r="CC310" s="8"/>
      <c r="CD310" s="8"/>
      <c r="CE310" s="8"/>
      <c r="CF310" s="8"/>
      <c r="CG310" s="8"/>
      <c r="CH310" s="8"/>
      <c r="CI310" s="8"/>
      <c r="CJ310" s="8"/>
      <c r="CK310" s="8"/>
      <c r="CL310" s="8"/>
      <c r="CM310" s="8"/>
      <c r="CN310" s="8"/>
      <c r="CO310" s="8"/>
      <c r="CP310" s="8"/>
      <c r="CQ310" s="8"/>
      <c r="CR310" s="8"/>
      <c r="CS310" s="8"/>
      <c r="CT310" s="8"/>
      <c r="CU310" s="8"/>
    </row>
    <row r="311" spans="1:99" x14ac:dyDescent="0.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c r="BI311" s="8"/>
      <c r="BJ311" s="8"/>
      <c r="BK311" s="8"/>
      <c r="BL311" s="8"/>
      <c r="BM311" s="8"/>
      <c r="BN311" s="8"/>
      <c r="BO311" s="8"/>
      <c r="BP311" s="8"/>
      <c r="BQ311" s="8"/>
      <c r="BR311" s="8"/>
      <c r="BS311" s="8"/>
      <c r="BT311" s="8"/>
      <c r="BU311" s="8"/>
      <c r="BV311" s="8"/>
      <c r="BW311" s="8"/>
      <c r="BX311" s="8"/>
      <c r="BY311" s="8"/>
      <c r="BZ311" s="8"/>
      <c r="CA311" s="8"/>
      <c r="CB311" s="8"/>
      <c r="CC311" s="8"/>
      <c r="CD311" s="8"/>
      <c r="CE311" s="8"/>
      <c r="CF311" s="8"/>
      <c r="CG311" s="8"/>
      <c r="CH311" s="8"/>
      <c r="CI311" s="8"/>
      <c r="CJ311" s="8"/>
      <c r="CK311" s="8"/>
      <c r="CL311" s="8"/>
      <c r="CM311" s="8"/>
      <c r="CN311" s="8"/>
      <c r="CO311" s="8"/>
      <c r="CP311" s="8"/>
      <c r="CQ311" s="8"/>
      <c r="CR311" s="8"/>
      <c r="CS311" s="8"/>
      <c r="CT311" s="8"/>
      <c r="CU311" s="8"/>
    </row>
    <row r="312" spans="1:99" x14ac:dyDescent="0.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c r="BI312" s="8"/>
      <c r="BJ312" s="8"/>
      <c r="BK312" s="8"/>
      <c r="BL312" s="8"/>
      <c r="BM312" s="8"/>
      <c r="BN312" s="8"/>
      <c r="BO312" s="8"/>
      <c r="BP312" s="8"/>
      <c r="BQ312" s="8"/>
      <c r="BR312" s="8"/>
      <c r="BS312" s="8"/>
      <c r="BT312" s="8"/>
      <c r="BU312" s="8"/>
      <c r="BV312" s="8"/>
      <c r="BW312" s="8"/>
      <c r="BX312" s="8"/>
      <c r="BY312" s="8"/>
      <c r="BZ312" s="8"/>
      <c r="CA312" s="8"/>
      <c r="CB312" s="8"/>
      <c r="CC312" s="8"/>
      <c r="CD312" s="8"/>
      <c r="CE312" s="8"/>
      <c r="CF312" s="8"/>
      <c r="CG312" s="8"/>
      <c r="CH312" s="8"/>
      <c r="CI312" s="8"/>
      <c r="CJ312" s="8"/>
      <c r="CK312" s="8"/>
      <c r="CL312" s="8"/>
      <c r="CM312" s="8"/>
      <c r="CN312" s="8"/>
      <c r="CO312" s="8"/>
      <c r="CP312" s="8"/>
      <c r="CQ312" s="8"/>
      <c r="CR312" s="8"/>
      <c r="CS312" s="8"/>
      <c r="CT312" s="8"/>
      <c r="CU312" s="8"/>
    </row>
    <row r="313" spans="1:99" x14ac:dyDescent="0.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c r="BI313" s="8"/>
      <c r="BJ313" s="8"/>
      <c r="BK313" s="8"/>
      <c r="BL313" s="8"/>
      <c r="BM313" s="8"/>
      <c r="BN313" s="8"/>
      <c r="BO313" s="8"/>
      <c r="BP313" s="8"/>
      <c r="BQ313" s="8"/>
      <c r="BR313" s="8"/>
      <c r="BS313" s="8"/>
      <c r="BT313" s="8"/>
      <c r="BU313" s="8"/>
      <c r="BV313" s="8"/>
      <c r="BW313" s="8"/>
      <c r="BX313" s="8"/>
      <c r="BY313" s="8"/>
      <c r="BZ313" s="8"/>
      <c r="CA313" s="8"/>
      <c r="CB313" s="8"/>
      <c r="CC313" s="8"/>
      <c r="CD313" s="8"/>
      <c r="CE313" s="8"/>
      <c r="CF313" s="8"/>
      <c r="CG313" s="8"/>
      <c r="CH313" s="8"/>
      <c r="CI313" s="8"/>
      <c r="CJ313" s="8"/>
      <c r="CK313" s="8"/>
      <c r="CL313" s="8"/>
      <c r="CM313" s="8"/>
      <c r="CN313" s="8"/>
      <c r="CO313" s="8"/>
      <c r="CP313" s="8"/>
      <c r="CQ313" s="8"/>
      <c r="CR313" s="8"/>
      <c r="CS313" s="8"/>
      <c r="CT313" s="8"/>
      <c r="CU313" s="8"/>
    </row>
    <row r="314" spans="1:99" x14ac:dyDescent="0.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c r="CG314" s="8"/>
      <c r="CH314" s="8"/>
      <c r="CI314" s="8"/>
      <c r="CJ314" s="8"/>
      <c r="CK314" s="8"/>
      <c r="CL314" s="8"/>
      <c r="CM314" s="8"/>
      <c r="CN314" s="8"/>
      <c r="CO314" s="8"/>
      <c r="CP314" s="8"/>
      <c r="CQ314" s="8"/>
      <c r="CR314" s="8"/>
      <c r="CS314" s="8"/>
      <c r="CT314" s="8"/>
      <c r="CU314" s="8"/>
    </row>
    <row r="315" spans="1:99" x14ac:dyDescent="0.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c r="CG315" s="8"/>
      <c r="CH315" s="8"/>
      <c r="CI315" s="8"/>
      <c r="CJ315" s="8"/>
      <c r="CK315" s="8"/>
      <c r="CL315" s="8"/>
      <c r="CM315" s="8"/>
      <c r="CN315" s="8"/>
      <c r="CO315" s="8"/>
      <c r="CP315" s="8"/>
      <c r="CQ315" s="8"/>
      <c r="CR315" s="8"/>
      <c r="CS315" s="8"/>
      <c r="CT315" s="8"/>
      <c r="CU315" s="8"/>
    </row>
    <row r="316" spans="1:99" x14ac:dyDescent="0.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c r="CG316" s="8"/>
      <c r="CH316" s="8"/>
      <c r="CI316" s="8"/>
      <c r="CJ316" s="8"/>
      <c r="CK316" s="8"/>
      <c r="CL316" s="8"/>
      <c r="CM316" s="8"/>
      <c r="CN316" s="8"/>
      <c r="CO316" s="8"/>
      <c r="CP316" s="8"/>
      <c r="CQ316" s="8"/>
      <c r="CR316" s="8"/>
      <c r="CS316" s="8"/>
      <c r="CT316" s="8"/>
      <c r="CU316" s="8"/>
    </row>
    <row r="317" spans="1:99" x14ac:dyDescent="0.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c r="CG317" s="8"/>
      <c r="CH317" s="8"/>
      <c r="CI317" s="8"/>
      <c r="CJ317" s="8"/>
      <c r="CK317" s="8"/>
      <c r="CL317" s="8"/>
      <c r="CM317" s="8"/>
      <c r="CN317" s="8"/>
      <c r="CO317" s="8"/>
      <c r="CP317" s="8"/>
      <c r="CQ317" s="8"/>
      <c r="CR317" s="8"/>
      <c r="CS317" s="8"/>
      <c r="CT317" s="8"/>
      <c r="CU317" s="8"/>
    </row>
    <row r="318" spans="1:99" x14ac:dyDescent="0.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c r="CG318" s="8"/>
      <c r="CH318" s="8"/>
      <c r="CI318" s="8"/>
      <c r="CJ318" s="8"/>
      <c r="CK318" s="8"/>
      <c r="CL318" s="8"/>
      <c r="CM318" s="8"/>
      <c r="CN318" s="8"/>
      <c r="CO318" s="8"/>
      <c r="CP318" s="8"/>
      <c r="CQ318" s="8"/>
      <c r="CR318" s="8"/>
      <c r="CS318" s="8"/>
      <c r="CT318" s="8"/>
      <c r="CU318" s="8"/>
    </row>
    <row r="319" spans="1:99" x14ac:dyDescent="0.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c r="BI319" s="8"/>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8"/>
      <c r="CL319" s="8"/>
      <c r="CM319" s="8"/>
      <c r="CN319" s="8"/>
      <c r="CO319" s="8"/>
      <c r="CP319" s="8"/>
      <c r="CQ319" s="8"/>
      <c r="CR319" s="8"/>
      <c r="CS319" s="8"/>
      <c r="CT319" s="8"/>
      <c r="CU319" s="8"/>
    </row>
    <row r="320" spans="1:99" x14ac:dyDescent="0.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c r="BI320" s="8"/>
      <c r="BJ320" s="8"/>
      <c r="BK320" s="8"/>
      <c r="BL320" s="8"/>
      <c r="BM320" s="8"/>
      <c r="BN320" s="8"/>
      <c r="BO320" s="8"/>
      <c r="BP320" s="8"/>
      <c r="BQ320" s="8"/>
      <c r="BR320" s="8"/>
      <c r="BS320" s="8"/>
      <c r="BT320" s="8"/>
      <c r="BU320" s="8"/>
      <c r="BV320" s="8"/>
      <c r="BW320" s="8"/>
      <c r="BX320" s="8"/>
      <c r="BY320" s="8"/>
      <c r="BZ320" s="8"/>
      <c r="CA320" s="8"/>
      <c r="CB320" s="8"/>
      <c r="CC320" s="8"/>
      <c r="CD320" s="8"/>
      <c r="CE320" s="8"/>
      <c r="CF320" s="8"/>
      <c r="CG320" s="8"/>
      <c r="CH320" s="8"/>
      <c r="CI320" s="8"/>
      <c r="CJ320" s="8"/>
      <c r="CK320" s="8"/>
      <c r="CL320" s="8"/>
      <c r="CM320" s="8"/>
      <c r="CN320" s="8"/>
      <c r="CO320" s="8"/>
      <c r="CP320" s="8"/>
      <c r="CQ320" s="8"/>
      <c r="CR320" s="8"/>
      <c r="CS320" s="8"/>
      <c r="CT320" s="8"/>
      <c r="CU320" s="8"/>
    </row>
    <row r="321" spans="1:99" x14ac:dyDescent="0.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c r="BI321" s="8"/>
      <c r="BJ321" s="8"/>
      <c r="BK321" s="8"/>
      <c r="BL321" s="8"/>
      <c r="BM321" s="8"/>
      <c r="BN321" s="8"/>
      <c r="BO321" s="8"/>
      <c r="BP321" s="8"/>
      <c r="BQ321" s="8"/>
      <c r="BR321" s="8"/>
      <c r="BS321" s="8"/>
      <c r="BT321" s="8"/>
      <c r="BU321" s="8"/>
      <c r="BV321" s="8"/>
      <c r="BW321" s="8"/>
      <c r="BX321" s="8"/>
      <c r="BY321" s="8"/>
      <c r="BZ321" s="8"/>
      <c r="CA321" s="8"/>
      <c r="CB321" s="8"/>
      <c r="CC321" s="8"/>
      <c r="CD321" s="8"/>
      <c r="CE321" s="8"/>
      <c r="CF321" s="8"/>
      <c r="CG321" s="8"/>
      <c r="CH321" s="8"/>
      <c r="CI321" s="8"/>
      <c r="CJ321" s="8"/>
      <c r="CK321" s="8"/>
      <c r="CL321" s="8"/>
      <c r="CM321" s="8"/>
      <c r="CN321" s="8"/>
      <c r="CO321" s="8"/>
      <c r="CP321" s="8"/>
      <c r="CQ321" s="8"/>
      <c r="CR321" s="8"/>
      <c r="CS321" s="8"/>
      <c r="CT321" s="8"/>
      <c r="CU321" s="8"/>
    </row>
    <row r="322" spans="1:99" x14ac:dyDescent="0.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c r="CT322" s="8"/>
      <c r="CU322" s="8"/>
    </row>
    <row r="323" spans="1:99" x14ac:dyDescent="0.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c r="CG323" s="8"/>
      <c r="CH323" s="8"/>
      <c r="CI323" s="8"/>
      <c r="CJ323" s="8"/>
      <c r="CK323" s="8"/>
      <c r="CL323" s="8"/>
      <c r="CM323" s="8"/>
      <c r="CN323" s="8"/>
      <c r="CO323" s="8"/>
      <c r="CP323" s="8"/>
      <c r="CQ323" s="8"/>
      <c r="CR323" s="8"/>
      <c r="CS323" s="8"/>
      <c r="CT323" s="8"/>
      <c r="CU323" s="8"/>
    </row>
    <row r="324" spans="1:99" x14ac:dyDescent="0.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c r="BI324" s="8"/>
      <c r="BJ324" s="8"/>
      <c r="BK324" s="8"/>
      <c r="BL324" s="8"/>
      <c r="BM324" s="8"/>
      <c r="BN324" s="8"/>
      <c r="BO324" s="8"/>
      <c r="BP324" s="8"/>
      <c r="BQ324" s="8"/>
      <c r="BR324" s="8"/>
      <c r="BS324" s="8"/>
      <c r="BT324" s="8"/>
      <c r="BU324" s="8"/>
      <c r="BV324" s="8"/>
      <c r="BW324" s="8"/>
      <c r="BX324" s="8"/>
      <c r="BY324" s="8"/>
      <c r="BZ324" s="8"/>
      <c r="CA324" s="8"/>
      <c r="CB324" s="8"/>
      <c r="CC324" s="8"/>
      <c r="CD324" s="8"/>
      <c r="CE324" s="8"/>
      <c r="CF324" s="8"/>
      <c r="CG324" s="8"/>
      <c r="CH324" s="8"/>
      <c r="CI324" s="8"/>
      <c r="CJ324" s="8"/>
      <c r="CK324" s="8"/>
      <c r="CL324" s="8"/>
      <c r="CM324" s="8"/>
      <c r="CN324" s="8"/>
      <c r="CO324" s="8"/>
      <c r="CP324" s="8"/>
      <c r="CQ324" s="8"/>
      <c r="CR324" s="8"/>
      <c r="CS324" s="8"/>
      <c r="CT324" s="8"/>
      <c r="CU324" s="8"/>
    </row>
    <row r="325" spans="1:99" x14ac:dyDescent="0.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c r="CG325" s="8"/>
      <c r="CH325" s="8"/>
      <c r="CI325" s="8"/>
      <c r="CJ325" s="8"/>
      <c r="CK325" s="8"/>
      <c r="CL325" s="8"/>
      <c r="CM325" s="8"/>
      <c r="CN325" s="8"/>
      <c r="CO325" s="8"/>
      <c r="CP325" s="8"/>
      <c r="CQ325" s="8"/>
      <c r="CR325" s="8"/>
      <c r="CS325" s="8"/>
      <c r="CT325" s="8"/>
      <c r="CU325" s="8"/>
    </row>
    <row r="326" spans="1:99" x14ac:dyDescent="0.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c r="CG326" s="8"/>
      <c r="CH326" s="8"/>
      <c r="CI326" s="8"/>
      <c r="CJ326" s="8"/>
      <c r="CK326" s="8"/>
      <c r="CL326" s="8"/>
      <c r="CM326" s="8"/>
      <c r="CN326" s="8"/>
      <c r="CO326" s="8"/>
      <c r="CP326" s="8"/>
      <c r="CQ326" s="8"/>
      <c r="CR326" s="8"/>
      <c r="CS326" s="8"/>
      <c r="CT326" s="8"/>
      <c r="CU326" s="8"/>
    </row>
    <row r="327" spans="1:99" x14ac:dyDescent="0.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c r="CG327" s="8"/>
      <c r="CH327" s="8"/>
      <c r="CI327" s="8"/>
      <c r="CJ327" s="8"/>
      <c r="CK327" s="8"/>
      <c r="CL327" s="8"/>
      <c r="CM327" s="8"/>
      <c r="CN327" s="8"/>
      <c r="CO327" s="8"/>
      <c r="CP327" s="8"/>
      <c r="CQ327" s="8"/>
      <c r="CR327" s="8"/>
      <c r="CS327" s="8"/>
      <c r="CT327" s="8"/>
      <c r="CU327" s="8"/>
    </row>
    <row r="328" spans="1:99" x14ac:dyDescent="0.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c r="BG328" s="8"/>
      <c r="BH328" s="8"/>
      <c r="BI328" s="8"/>
      <c r="BJ328" s="8"/>
      <c r="BK328" s="8"/>
      <c r="BL328" s="8"/>
      <c r="BM328" s="8"/>
      <c r="BN328" s="8"/>
      <c r="BO328" s="8"/>
      <c r="BP328" s="8"/>
      <c r="BQ328" s="8"/>
      <c r="BR328" s="8"/>
      <c r="BS328" s="8"/>
      <c r="BT328" s="8"/>
      <c r="BU328" s="8"/>
      <c r="BV328" s="8"/>
      <c r="BW328" s="8"/>
      <c r="BX328" s="8"/>
      <c r="BY328" s="8"/>
      <c r="BZ328" s="8"/>
      <c r="CA328" s="8"/>
      <c r="CB328" s="8"/>
      <c r="CC328" s="8"/>
      <c r="CD328" s="8"/>
      <c r="CE328" s="8"/>
      <c r="CF328" s="8"/>
      <c r="CG328" s="8"/>
      <c r="CH328" s="8"/>
      <c r="CI328" s="8"/>
      <c r="CJ328" s="8"/>
      <c r="CK328" s="8"/>
      <c r="CL328" s="8"/>
      <c r="CM328" s="8"/>
      <c r="CN328" s="8"/>
      <c r="CO328" s="8"/>
      <c r="CP328" s="8"/>
      <c r="CQ328" s="8"/>
      <c r="CR328" s="8"/>
      <c r="CS328" s="8"/>
      <c r="CT328" s="8"/>
      <c r="CU328" s="8"/>
    </row>
    <row r="329" spans="1:99" x14ac:dyDescent="0.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c r="CG329" s="8"/>
      <c r="CH329" s="8"/>
      <c r="CI329" s="8"/>
      <c r="CJ329" s="8"/>
      <c r="CK329" s="8"/>
      <c r="CL329" s="8"/>
      <c r="CM329" s="8"/>
      <c r="CN329" s="8"/>
      <c r="CO329" s="8"/>
      <c r="CP329" s="8"/>
      <c r="CQ329" s="8"/>
      <c r="CR329" s="8"/>
      <c r="CS329" s="8"/>
      <c r="CT329" s="8"/>
      <c r="CU329" s="8"/>
    </row>
    <row r="330" spans="1:99" x14ac:dyDescent="0.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c r="CG330" s="8"/>
      <c r="CH330" s="8"/>
      <c r="CI330" s="8"/>
      <c r="CJ330" s="8"/>
      <c r="CK330" s="8"/>
      <c r="CL330" s="8"/>
      <c r="CM330" s="8"/>
      <c r="CN330" s="8"/>
      <c r="CO330" s="8"/>
      <c r="CP330" s="8"/>
      <c r="CQ330" s="8"/>
      <c r="CR330" s="8"/>
      <c r="CS330" s="8"/>
      <c r="CT330" s="8"/>
      <c r="CU330" s="8"/>
    </row>
    <row r="331" spans="1:99" x14ac:dyDescent="0.4">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c r="CG331" s="8"/>
      <c r="CH331" s="8"/>
      <c r="CI331" s="8"/>
      <c r="CJ331" s="8"/>
      <c r="CK331" s="8"/>
      <c r="CL331" s="8"/>
      <c r="CM331" s="8"/>
      <c r="CN331" s="8"/>
      <c r="CO331" s="8"/>
      <c r="CP331" s="8"/>
      <c r="CQ331" s="8"/>
      <c r="CR331" s="8"/>
      <c r="CS331" s="8"/>
      <c r="CT331" s="8"/>
      <c r="CU331" s="8"/>
    </row>
    <row r="332" spans="1:99" x14ac:dyDescent="0.4">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c r="CG332" s="8"/>
      <c r="CH332" s="8"/>
      <c r="CI332" s="8"/>
      <c r="CJ332" s="8"/>
      <c r="CK332" s="8"/>
      <c r="CL332" s="8"/>
      <c r="CM332" s="8"/>
      <c r="CN332" s="8"/>
      <c r="CO332" s="8"/>
      <c r="CP332" s="8"/>
      <c r="CQ332" s="8"/>
      <c r="CR332" s="8"/>
      <c r="CS332" s="8"/>
      <c r="CT332" s="8"/>
      <c r="CU332" s="8"/>
    </row>
    <row r="333" spans="1:99" x14ac:dyDescent="0.4">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c r="BG333" s="8"/>
      <c r="BH333" s="8"/>
      <c r="BI333" s="8"/>
      <c r="BJ333" s="8"/>
      <c r="BK333" s="8"/>
      <c r="BL333" s="8"/>
      <c r="BM333" s="8"/>
      <c r="BN333" s="8"/>
      <c r="BO333" s="8"/>
      <c r="BP333" s="8"/>
      <c r="BQ333" s="8"/>
      <c r="BR333" s="8"/>
      <c r="BS333" s="8"/>
      <c r="BT333" s="8"/>
      <c r="BU333" s="8"/>
      <c r="BV333" s="8"/>
      <c r="BW333" s="8"/>
      <c r="BX333" s="8"/>
      <c r="BY333" s="8"/>
      <c r="BZ333" s="8"/>
      <c r="CA333" s="8"/>
      <c r="CB333" s="8"/>
      <c r="CC333" s="8"/>
      <c r="CD333" s="8"/>
      <c r="CE333" s="8"/>
      <c r="CF333" s="8"/>
      <c r="CG333" s="8"/>
      <c r="CH333" s="8"/>
      <c r="CI333" s="8"/>
      <c r="CJ333" s="8"/>
      <c r="CK333" s="8"/>
      <c r="CL333" s="8"/>
      <c r="CM333" s="8"/>
      <c r="CN333" s="8"/>
      <c r="CO333" s="8"/>
      <c r="CP333" s="8"/>
      <c r="CQ333" s="8"/>
      <c r="CR333" s="8"/>
      <c r="CS333" s="8"/>
      <c r="CT333" s="8"/>
      <c r="CU333" s="8"/>
    </row>
    <row r="334" spans="1:99" x14ac:dyDescent="0.4">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c r="CG334" s="8"/>
      <c r="CH334" s="8"/>
      <c r="CI334" s="8"/>
      <c r="CJ334" s="8"/>
      <c r="CK334" s="8"/>
      <c r="CL334" s="8"/>
      <c r="CM334" s="8"/>
      <c r="CN334" s="8"/>
      <c r="CO334" s="8"/>
      <c r="CP334" s="8"/>
      <c r="CQ334" s="8"/>
      <c r="CR334" s="8"/>
      <c r="CS334" s="8"/>
      <c r="CT334" s="8"/>
      <c r="CU334" s="8"/>
    </row>
    <row r="335" spans="1:99" x14ac:dyDescent="0.4">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c r="CG335" s="8"/>
      <c r="CH335" s="8"/>
      <c r="CI335" s="8"/>
      <c r="CJ335" s="8"/>
      <c r="CK335" s="8"/>
      <c r="CL335" s="8"/>
      <c r="CM335" s="8"/>
      <c r="CN335" s="8"/>
      <c r="CO335" s="8"/>
      <c r="CP335" s="8"/>
      <c r="CQ335" s="8"/>
      <c r="CR335" s="8"/>
      <c r="CS335" s="8"/>
      <c r="CT335" s="8"/>
      <c r="CU335" s="8"/>
    </row>
    <row r="336" spans="1:99" x14ac:dyDescent="0.4">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c r="BG336" s="8"/>
      <c r="BH336" s="8"/>
      <c r="BI336" s="8"/>
      <c r="BJ336" s="8"/>
      <c r="BK336" s="8"/>
      <c r="BL336" s="8"/>
      <c r="BM336" s="8"/>
      <c r="BN336" s="8"/>
      <c r="BO336" s="8"/>
      <c r="BP336" s="8"/>
      <c r="BQ336" s="8"/>
      <c r="BR336" s="8"/>
      <c r="BS336" s="8"/>
      <c r="BT336" s="8"/>
      <c r="BU336" s="8"/>
      <c r="BV336" s="8"/>
      <c r="BW336" s="8"/>
      <c r="BX336" s="8"/>
      <c r="BY336" s="8"/>
      <c r="BZ336" s="8"/>
      <c r="CA336" s="8"/>
      <c r="CB336" s="8"/>
      <c r="CC336" s="8"/>
      <c r="CD336" s="8"/>
      <c r="CE336" s="8"/>
      <c r="CF336" s="8"/>
      <c r="CG336" s="8"/>
      <c r="CH336" s="8"/>
      <c r="CI336" s="8"/>
      <c r="CJ336" s="8"/>
      <c r="CK336" s="8"/>
      <c r="CL336" s="8"/>
      <c r="CM336" s="8"/>
      <c r="CN336" s="8"/>
      <c r="CO336" s="8"/>
      <c r="CP336" s="8"/>
      <c r="CQ336" s="8"/>
      <c r="CR336" s="8"/>
      <c r="CS336" s="8"/>
      <c r="CT336" s="8"/>
      <c r="CU336" s="8"/>
    </row>
    <row r="337" spans="1:99" x14ac:dyDescent="0.4">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c r="BG337" s="8"/>
      <c r="BH337" s="8"/>
      <c r="BI337" s="8"/>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8"/>
      <c r="CL337" s="8"/>
      <c r="CM337" s="8"/>
      <c r="CN337" s="8"/>
      <c r="CO337" s="8"/>
      <c r="CP337" s="8"/>
      <c r="CQ337" s="8"/>
      <c r="CR337" s="8"/>
      <c r="CS337" s="8"/>
      <c r="CT337" s="8"/>
      <c r="CU337" s="8"/>
    </row>
    <row r="338" spans="1:99" x14ac:dyDescent="0.4">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c r="CG338" s="8"/>
      <c r="CH338" s="8"/>
      <c r="CI338" s="8"/>
      <c r="CJ338" s="8"/>
      <c r="CK338" s="8"/>
      <c r="CL338" s="8"/>
      <c r="CM338" s="8"/>
      <c r="CN338" s="8"/>
      <c r="CO338" s="8"/>
      <c r="CP338" s="8"/>
      <c r="CQ338" s="8"/>
      <c r="CR338" s="8"/>
      <c r="CS338" s="8"/>
      <c r="CT338" s="8"/>
      <c r="CU338" s="8"/>
    </row>
    <row r="339" spans="1:99" x14ac:dyDescent="0.4">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c r="BG339" s="8"/>
      <c r="BH339" s="8"/>
      <c r="BI339" s="8"/>
      <c r="BJ339" s="8"/>
      <c r="BK339" s="8"/>
      <c r="BL339" s="8"/>
      <c r="BM339" s="8"/>
      <c r="BN339" s="8"/>
      <c r="BO339" s="8"/>
      <c r="BP339" s="8"/>
      <c r="BQ339" s="8"/>
      <c r="BR339" s="8"/>
      <c r="BS339" s="8"/>
      <c r="BT339" s="8"/>
      <c r="BU339" s="8"/>
      <c r="BV339" s="8"/>
      <c r="BW339" s="8"/>
      <c r="BX339" s="8"/>
      <c r="BY339" s="8"/>
      <c r="BZ339" s="8"/>
      <c r="CA339" s="8"/>
      <c r="CB339" s="8"/>
      <c r="CC339" s="8"/>
      <c r="CD339" s="8"/>
      <c r="CE339" s="8"/>
      <c r="CF339" s="8"/>
      <c r="CG339" s="8"/>
      <c r="CH339" s="8"/>
      <c r="CI339" s="8"/>
      <c r="CJ339" s="8"/>
      <c r="CK339" s="8"/>
      <c r="CL339" s="8"/>
      <c r="CM339" s="8"/>
      <c r="CN339" s="8"/>
      <c r="CO339" s="8"/>
      <c r="CP339" s="8"/>
      <c r="CQ339" s="8"/>
      <c r="CR339" s="8"/>
      <c r="CS339" s="8"/>
      <c r="CT339" s="8"/>
      <c r="CU339" s="8"/>
    </row>
    <row r="340" spans="1:99" x14ac:dyDescent="0.4">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c r="CG340" s="8"/>
      <c r="CH340" s="8"/>
      <c r="CI340" s="8"/>
      <c r="CJ340" s="8"/>
      <c r="CK340" s="8"/>
      <c r="CL340" s="8"/>
      <c r="CM340" s="8"/>
      <c r="CN340" s="8"/>
      <c r="CO340" s="8"/>
      <c r="CP340" s="8"/>
      <c r="CQ340" s="8"/>
      <c r="CR340" s="8"/>
      <c r="CS340" s="8"/>
      <c r="CT340" s="8"/>
      <c r="CU340" s="8"/>
    </row>
    <row r="341" spans="1:99" x14ac:dyDescent="0.4">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c r="BG341" s="8"/>
      <c r="BH341" s="8"/>
      <c r="BI341" s="8"/>
      <c r="BJ341" s="8"/>
      <c r="BK341" s="8"/>
      <c r="BL341" s="8"/>
      <c r="BM341" s="8"/>
      <c r="BN341" s="8"/>
      <c r="BO341" s="8"/>
      <c r="BP341" s="8"/>
      <c r="BQ341" s="8"/>
      <c r="BR341" s="8"/>
      <c r="BS341" s="8"/>
      <c r="BT341" s="8"/>
      <c r="BU341" s="8"/>
      <c r="BV341" s="8"/>
      <c r="BW341" s="8"/>
      <c r="BX341" s="8"/>
      <c r="BY341" s="8"/>
      <c r="BZ341" s="8"/>
      <c r="CA341" s="8"/>
      <c r="CB341" s="8"/>
      <c r="CC341" s="8"/>
      <c r="CD341" s="8"/>
      <c r="CE341" s="8"/>
      <c r="CF341" s="8"/>
      <c r="CG341" s="8"/>
      <c r="CH341" s="8"/>
      <c r="CI341" s="8"/>
      <c r="CJ341" s="8"/>
      <c r="CK341" s="8"/>
      <c r="CL341" s="8"/>
      <c r="CM341" s="8"/>
      <c r="CN341" s="8"/>
      <c r="CO341" s="8"/>
      <c r="CP341" s="8"/>
      <c r="CQ341" s="8"/>
      <c r="CR341" s="8"/>
      <c r="CS341" s="8"/>
      <c r="CT341" s="8"/>
      <c r="CU341" s="8"/>
    </row>
    <row r="342" spans="1:99" x14ac:dyDescent="0.4">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8"/>
      <c r="CL342" s="8"/>
      <c r="CM342" s="8"/>
      <c r="CN342" s="8"/>
      <c r="CO342" s="8"/>
      <c r="CP342" s="8"/>
      <c r="CQ342" s="8"/>
      <c r="CR342" s="8"/>
      <c r="CS342" s="8"/>
      <c r="CT342" s="8"/>
      <c r="CU342" s="8"/>
    </row>
    <row r="343" spans="1:99" x14ac:dyDescent="0.4">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8"/>
      <c r="CL343" s="8"/>
      <c r="CM343" s="8"/>
      <c r="CN343" s="8"/>
      <c r="CO343" s="8"/>
      <c r="CP343" s="8"/>
      <c r="CQ343" s="8"/>
      <c r="CR343" s="8"/>
      <c r="CS343" s="8"/>
      <c r="CT343" s="8"/>
      <c r="CU343" s="8"/>
    </row>
    <row r="344" spans="1:99" x14ac:dyDescent="0.4">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c r="BJ344" s="8"/>
      <c r="BK344" s="8"/>
      <c r="BL344" s="8"/>
      <c r="BM344" s="8"/>
      <c r="BN344" s="8"/>
      <c r="BO344" s="8"/>
      <c r="BP344" s="8"/>
      <c r="BQ344" s="8"/>
      <c r="BR344" s="8"/>
      <c r="BS344" s="8"/>
      <c r="BT344" s="8"/>
      <c r="BU344" s="8"/>
      <c r="BV344" s="8"/>
      <c r="BW344" s="8"/>
      <c r="BX344" s="8"/>
      <c r="BY344" s="8"/>
      <c r="BZ344" s="8"/>
      <c r="CA344" s="8"/>
      <c r="CB344" s="8"/>
      <c r="CC344" s="8"/>
      <c r="CD344" s="8"/>
      <c r="CE344" s="8"/>
      <c r="CF344" s="8"/>
      <c r="CG344" s="8"/>
      <c r="CH344" s="8"/>
      <c r="CI344" s="8"/>
      <c r="CJ344" s="8"/>
      <c r="CK344" s="8"/>
      <c r="CL344" s="8"/>
      <c r="CM344" s="8"/>
      <c r="CN344" s="8"/>
      <c r="CO344" s="8"/>
      <c r="CP344" s="8"/>
      <c r="CQ344" s="8"/>
      <c r="CR344" s="8"/>
      <c r="CS344" s="8"/>
      <c r="CT344" s="8"/>
      <c r="CU344" s="8"/>
    </row>
    <row r="345" spans="1:99" x14ac:dyDescent="0.4">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c r="CG345" s="8"/>
      <c r="CH345" s="8"/>
      <c r="CI345" s="8"/>
      <c r="CJ345" s="8"/>
      <c r="CK345" s="8"/>
      <c r="CL345" s="8"/>
      <c r="CM345" s="8"/>
      <c r="CN345" s="8"/>
      <c r="CO345" s="8"/>
      <c r="CP345" s="8"/>
      <c r="CQ345" s="8"/>
      <c r="CR345" s="8"/>
      <c r="CS345" s="8"/>
      <c r="CT345" s="8"/>
      <c r="CU345" s="8"/>
    </row>
    <row r="346" spans="1:99" x14ac:dyDescent="0.4">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c r="CG346" s="8"/>
      <c r="CH346" s="8"/>
      <c r="CI346" s="8"/>
      <c r="CJ346" s="8"/>
      <c r="CK346" s="8"/>
      <c r="CL346" s="8"/>
      <c r="CM346" s="8"/>
      <c r="CN346" s="8"/>
      <c r="CO346" s="8"/>
      <c r="CP346" s="8"/>
      <c r="CQ346" s="8"/>
      <c r="CR346" s="8"/>
      <c r="CS346" s="8"/>
      <c r="CT346" s="8"/>
      <c r="CU346" s="8"/>
    </row>
    <row r="347" spans="1:99" x14ac:dyDescent="0.4">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c r="BJ347" s="8"/>
      <c r="BK347" s="8"/>
      <c r="BL347" s="8"/>
      <c r="BM347" s="8"/>
      <c r="BN347" s="8"/>
      <c r="BO347" s="8"/>
      <c r="BP347" s="8"/>
      <c r="BQ347" s="8"/>
      <c r="BR347" s="8"/>
      <c r="BS347" s="8"/>
      <c r="BT347" s="8"/>
      <c r="BU347" s="8"/>
      <c r="BV347" s="8"/>
      <c r="BW347" s="8"/>
      <c r="BX347" s="8"/>
      <c r="BY347" s="8"/>
      <c r="BZ347" s="8"/>
      <c r="CA347" s="8"/>
      <c r="CB347" s="8"/>
      <c r="CC347" s="8"/>
      <c r="CD347" s="8"/>
      <c r="CE347" s="8"/>
      <c r="CF347" s="8"/>
      <c r="CG347" s="8"/>
      <c r="CH347" s="8"/>
      <c r="CI347" s="8"/>
      <c r="CJ347" s="8"/>
      <c r="CK347" s="8"/>
      <c r="CL347" s="8"/>
      <c r="CM347" s="8"/>
      <c r="CN347" s="8"/>
      <c r="CO347" s="8"/>
      <c r="CP347" s="8"/>
      <c r="CQ347" s="8"/>
      <c r="CR347" s="8"/>
      <c r="CS347" s="8"/>
      <c r="CT347" s="8"/>
      <c r="CU347" s="8"/>
    </row>
    <row r="348" spans="1:99" x14ac:dyDescent="0.4">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c r="CG348" s="8"/>
      <c r="CH348" s="8"/>
      <c r="CI348" s="8"/>
      <c r="CJ348" s="8"/>
      <c r="CK348" s="8"/>
      <c r="CL348" s="8"/>
      <c r="CM348" s="8"/>
      <c r="CN348" s="8"/>
      <c r="CO348" s="8"/>
      <c r="CP348" s="8"/>
      <c r="CQ348" s="8"/>
      <c r="CR348" s="8"/>
      <c r="CS348" s="8"/>
      <c r="CT348" s="8"/>
      <c r="CU348" s="8"/>
    </row>
    <row r="349" spans="1:99" x14ac:dyDescent="0.4">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c r="CG349" s="8"/>
      <c r="CH349" s="8"/>
      <c r="CI349" s="8"/>
      <c r="CJ349" s="8"/>
      <c r="CK349" s="8"/>
      <c r="CL349" s="8"/>
      <c r="CM349" s="8"/>
      <c r="CN349" s="8"/>
      <c r="CO349" s="8"/>
      <c r="CP349" s="8"/>
      <c r="CQ349" s="8"/>
      <c r="CR349" s="8"/>
      <c r="CS349" s="8"/>
      <c r="CT349" s="8"/>
      <c r="CU349" s="8"/>
    </row>
    <row r="350" spans="1:99" x14ac:dyDescent="0.4">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c r="CG350" s="8"/>
      <c r="CH350" s="8"/>
      <c r="CI350" s="8"/>
      <c r="CJ350" s="8"/>
      <c r="CK350" s="8"/>
      <c r="CL350" s="8"/>
      <c r="CM350" s="8"/>
      <c r="CN350" s="8"/>
      <c r="CO350" s="8"/>
      <c r="CP350" s="8"/>
      <c r="CQ350" s="8"/>
      <c r="CR350" s="8"/>
      <c r="CS350" s="8"/>
      <c r="CT350" s="8"/>
      <c r="CU350" s="8"/>
    </row>
    <row r="351" spans="1:99" x14ac:dyDescent="0.4">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c r="BJ351" s="8"/>
      <c r="BK351" s="8"/>
      <c r="BL351" s="8"/>
      <c r="BM351" s="8"/>
      <c r="BN351" s="8"/>
      <c r="BO351" s="8"/>
      <c r="BP351" s="8"/>
      <c r="BQ351" s="8"/>
      <c r="BR351" s="8"/>
      <c r="BS351" s="8"/>
      <c r="BT351" s="8"/>
      <c r="BU351" s="8"/>
      <c r="BV351" s="8"/>
      <c r="BW351" s="8"/>
      <c r="BX351" s="8"/>
      <c r="BY351" s="8"/>
      <c r="BZ351" s="8"/>
      <c r="CA351" s="8"/>
      <c r="CB351" s="8"/>
      <c r="CC351" s="8"/>
      <c r="CD351" s="8"/>
      <c r="CE351" s="8"/>
      <c r="CF351" s="8"/>
      <c r="CG351" s="8"/>
      <c r="CH351" s="8"/>
      <c r="CI351" s="8"/>
      <c r="CJ351" s="8"/>
      <c r="CK351" s="8"/>
      <c r="CL351" s="8"/>
      <c r="CM351" s="8"/>
      <c r="CN351" s="8"/>
      <c r="CO351" s="8"/>
      <c r="CP351" s="8"/>
      <c r="CQ351" s="8"/>
      <c r="CR351" s="8"/>
      <c r="CS351" s="8"/>
      <c r="CT351" s="8"/>
      <c r="CU351" s="8"/>
    </row>
    <row r="352" spans="1:99" x14ac:dyDescent="0.4">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c r="CG352" s="8"/>
      <c r="CH352" s="8"/>
      <c r="CI352" s="8"/>
      <c r="CJ352" s="8"/>
      <c r="CK352" s="8"/>
      <c r="CL352" s="8"/>
      <c r="CM352" s="8"/>
      <c r="CN352" s="8"/>
      <c r="CO352" s="8"/>
      <c r="CP352" s="8"/>
      <c r="CQ352" s="8"/>
      <c r="CR352" s="8"/>
      <c r="CS352" s="8"/>
      <c r="CT352" s="8"/>
      <c r="CU352" s="8"/>
    </row>
    <row r="353" spans="1:99" x14ac:dyDescent="0.4">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c r="CG353" s="8"/>
      <c r="CH353" s="8"/>
      <c r="CI353" s="8"/>
      <c r="CJ353" s="8"/>
      <c r="CK353" s="8"/>
      <c r="CL353" s="8"/>
      <c r="CM353" s="8"/>
      <c r="CN353" s="8"/>
      <c r="CO353" s="8"/>
      <c r="CP353" s="8"/>
      <c r="CQ353" s="8"/>
      <c r="CR353" s="8"/>
      <c r="CS353" s="8"/>
      <c r="CT353" s="8"/>
      <c r="CU353" s="8"/>
    </row>
    <row r="354" spans="1:99" x14ac:dyDescent="0.4">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c r="BJ354" s="8"/>
      <c r="BK354" s="8"/>
      <c r="BL354" s="8"/>
      <c r="BM354" s="8"/>
      <c r="BN354" s="8"/>
      <c r="BO354" s="8"/>
      <c r="BP354" s="8"/>
      <c r="BQ354" s="8"/>
      <c r="BR354" s="8"/>
      <c r="BS354" s="8"/>
      <c r="BT354" s="8"/>
      <c r="BU354" s="8"/>
      <c r="BV354" s="8"/>
      <c r="BW354" s="8"/>
      <c r="BX354" s="8"/>
      <c r="BY354" s="8"/>
      <c r="BZ354" s="8"/>
      <c r="CA354" s="8"/>
      <c r="CB354" s="8"/>
      <c r="CC354" s="8"/>
      <c r="CD354" s="8"/>
      <c r="CE354" s="8"/>
      <c r="CF354" s="8"/>
      <c r="CG354" s="8"/>
      <c r="CH354" s="8"/>
      <c r="CI354" s="8"/>
      <c r="CJ354" s="8"/>
      <c r="CK354" s="8"/>
      <c r="CL354" s="8"/>
      <c r="CM354" s="8"/>
      <c r="CN354" s="8"/>
      <c r="CO354" s="8"/>
      <c r="CP354" s="8"/>
      <c r="CQ354" s="8"/>
      <c r="CR354" s="8"/>
      <c r="CS354" s="8"/>
      <c r="CT354" s="8"/>
      <c r="CU354" s="8"/>
    </row>
    <row r="355" spans="1:99" x14ac:dyDescent="0.4">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c r="BJ355" s="8"/>
      <c r="BK355" s="8"/>
      <c r="BL355" s="8"/>
      <c r="BM355" s="8"/>
      <c r="BN355" s="8"/>
      <c r="BO355" s="8"/>
      <c r="BP355" s="8"/>
      <c r="BQ355" s="8"/>
      <c r="BR355" s="8"/>
      <c r="BS355" s="8"/>
      <c r="BT355" s="8"/>
      <c r="BU355" s="8"/>
      <c r="BV355" s="8"/>
      <c r="BW355" s="8"/>
      <c r="BX355" s="8"/>
      <c r="BY355" s="8"/>
      <c r="BZ355" s="8"/>
      <c r="CA355" s="8"/>
      <c r="CB355" s="8"/>
      <c r="CC355" s="8"/>
      <c r="CD355" s="8"/>
      <c r="CE355" s="8"/>
      <c r="CF355" s="8"/>
      <c r="CG355" s="8"/>
      <c r="CH355" s="8"/>
      <c r="CI355" s="8"/>
      <c r="CJ355" s="8"/>
      <c r="CK355" s="8"/>
      <c r="CL355" s="8"/>
      <c r="CM355" s="8"/>
      <c r="CN355" s="8"/>
      <c r="CO355" s="8"/>
      <c r="CP355" s="8"/>
      <c r="CQ355" s="8"/>
      <c r="CR355" s="8"/>
      <c r="CS355" s="8"/>
      <c r="CT355" s="8"/>
      <c r="CU355" s="8"/>
    </row>
    <row r="356" spans="1:99" x14ac:dyDescent="0.4">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c r="CG356" s="8"/>
      <c r="CH356" s="8"/>
      <c r="CI356" s="8"/>
      <c r="CJ356" s="8"/>
      <c r="CK356" s="8"/>
      <c r="CL356" s="8"/>
      <c r="CM356" s="8"/>
      <c r="CN356" s="8"/>
      <c r="CO356" s="8"/>
      <c r="CP356" s="8"/>
      <c r="CQ356" s="8"/>
      <c r="CR356" s="8"/>
      <c r="CS356" s="8"/>
      <c r="CT356" s="8"/>
      <c r="CU356" s="8"/>
    </row>
    <row r="357" spans="1:99"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row>
    <row r="358" spans="1:99" x14ac:dyDescent="0.4">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c r="CG358" s="8"/>
      <c r="CH358" s="8"/>
      <c r="CI358" s="8"/>
      <c r="CJ358" s="8"/>
      <c r="CK358" s="8"/>
      <c r="CL358" s="8"/>
      <c r="CM358" s="8"/>
      <c r="CN358" s="8"/>
      <c r="CO358" s="8"/>
      <c r="CP358" s="8"/>
      <c r="CQ358" s="8"/>
      <c r="CR358" s="8"/>
      <c r="CS358" s="8"/>
      <c r="CT358" s="8"/>
      <c r="CU358" s="8"/>
    </row>
    <row r="359" spans="1:99" x14ac:dyDescent="0.4">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c r="CG359" s="8"/>
      <c r="CH359" s="8"/>
      <c r="CI359" s="8"/>
      <c r="CJ359" s="8"/>
      <c r="CK359" s="8"/>
      <c r="CL359" s="8"/>
      <c r="CM359" s="8"/>
      <c r="CN359" s="8"/>
      <c r="CO359" s="8"/>
      <c r="CP359" s="8"/>
      <c r="CQ359" s="8"/>
      <c r="CR359" s="8"/>
      <c r="CS359" s="8"/>
      <c r="CT359" s="8"/>
      <c r="CU359" s="8"/>
    </row>
    <row r="360" spans="1:99" x14ac:dyDescent="0.4">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row>
    <row r="361" spans="1:99" x14ac:dyDescent="0.4">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c r="CG361" s="8"/>
      <c r="CH361" s="8"/>
      <c r="CI361" s="8"/>
      <c r="CJ361" s="8"/>
      <c r="CK361" s="8"/>
      <c r="CL361" s="8"/>
      <c r="CM361" s="8"/>
      <c r="CN361" s="8"/>
      <c r="CO361" s="8"/>
      <c r="CP361" s="8"/>
      <c r="CQ361" s="8"/>
      <c r="CR361" s="8"/>
      <c r="CS361" s="8"/>
      <c r="CT361" s="8"/>
      <c r="CU361" s="8"/>
    </row>
    <row r="362" spans="1:99" x14ac:dyDescent="0.4">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c r="BJ362" s="8"/>
      <c r="BK362" s="8"/>
      <c r="BL362" s="8"/>
      <c r="BM362" s="8"/>
      <c r="BN362" s="8"/>
      <c r="BO362" s="8"/>
      <c r="BP362" s="8"/>
      <c r="BQ362" s="8"/>
      <c r="BR362" s="8"/>
      <c r="BS362" s="8"/>
      <c r="BT362" s="8"/>
      <c r="BU362" s="8"/>
      <c r="BV362" s="8"/>
      <c r="BW362" s="8"/>
      <c r="BX362" s="8"/>
      <c r="BY362" s="8"/>
      <c r="BZ362" s="8"/>
      <c r="CA362" s="8"/>
      <c r="CB362" s="8"/>
      <c r="CC362" s="8"/>
      <c r="CD362" s="8"/>
      <c r="CE362" s="8"/>
      <c r="CF362" s="8"/>
      <c r="CG362" s="8"/>
      <c r="CH362" s="8"/>
      <c r="CI362" s="8"/>
      <c r="CJ362" s="8"/>
      <c r="CK362" s="8"/>
      <c r="CL362" s="8"/>
      <c r="CM362" s="8"/>
      <c r="CN362" s="8"/>
      <c r="CO362" s="8"/>
      <c r="CP362" s="8"/>
      <c r="CQ362" s="8"/>
      <c r="CR362" s="8"/>
      <c r="CS362" s="8"/>
      <c r="CT362" s="8"/>
      <c r="CU362" s="8"/>
    </row>
    <row r="363" spans="1:99" x14ac:dyDescent="0.4">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c r="BJ363" s="8"/>
      <c r="BK363" s="8"/>
      <c r="BL363" s="8"/>
      <c r="BM363" s="8"/>
      <c r="BN363" s="8"/>
      <c r="BO363" s="8"/>
      <c r="BP363" s="8"/>
      <c r="BQ363" s="8"/>
      <c r="BR363" s="8"/>
      <c r="BS363" s="8"/>
      <c r="BT363" s="8"/>
      <c r="BU363" s="8"/>
      <c r="BV363" s="8"/>
      <c r="BW363" s="8"/>
      <c r="BX363" s="8"/>
      <c r="BY363" s="8"/>
      <c r="BZ363" s="8"/>
      <c r="CA363" s="8"/>
      <c r="CB363" s="8"/>
      <c r="CC363" s="8"/>
      <c r="CD363" s="8"/>
      <c r="CE363" s="8"/>
      <c r="CF363" s="8"/>
      <c r="CG363" s="8"/>
      <c r="CH363" s="8"/>
      <c r="CI363" s="8"/>
      <c r="CJ363" s="8"/>
      <c r="CK363" s="8"/>
      <c r="CL363" s="8"/>
      <c r="CM363" s="8"/>
      <c r="CN363" s="8"/>
      <c r="CO363" s="8"/>
      <c r="CP363" s="8"/>
      <c r="CQ363" s="8"/>
      <c r="CR363" s="8"/>
      <c r="CS363" s="8"/>
      <c r="CT363" s="8"/>
      <c r="CU363" s="8"/>
    </row>
    <row r="364" spans="1:99" x14ac:dyDescent="0.4">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c r="BJ364" s="8"/>
      <c r="BK364" s="8"/>
      <c r="BL364" s="8"/>
      <c r="BM364" s="8"/>
      <c r="BN364" s="8"/>
      <c r="BO364" s="8"/>
      <c r="BP364" s="8"/>
      <c r="BQ364" s="8"/>
      <c r="BR364" s="8"/>
      <c r="BS364" s="8"/>
      <c r="BT364" s="8"/>
      <c r="BU364" s="8"/>
      <c r="BV364" s="8"/>
      <c r="BW364" s="8"/>
      <c r="BX364" s="8"/>
      <c r="BY364" s="8"/>
      <c r="BZ364" s="8"/>
      <c r="CA364" s="8"/>
      <c r="CB364" s="8"/>
      <c r="CC364" s="8"/>
      <c r="CD364" s="8"/>
      <c r="CE364" s="8"/>
      <c r="CF364" s="8"/>
      <c r="CG364" s="8"/>
      <c r="CH364" s="8"/>
      <c r="CI364" s="8"/>
      <c r="CJ364" s="8"/>
      <c r="CK364" s="8"/>
      <c r="CL364" s="8"/>
      <c r="CM364" s="8"/>
      <c r="CN364" s="8"/>
      <c r="CO364" s="8"/>
      <c r="CP364" s="8"/>
      <c r="CQ364" s="8"/>
      <c r="CR364" s="8"/>
      <c r="CS364" s="8"/>
      <c r="CT364" s="8"/>
      <c r="CU364" s="8"/>
    </row>
    <row r="365" spans="1:99" x14ac:dyDescent="0.4">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c r="BJ365" s="8"/>
      <c r="BK365" s="8"/>
      <c r="BL365" s="8"/>
      <c r="BM365" s="8"/>
      <c r="BN365" s="8"/>
      <c r="BO365" s="8"/>
      <c r="BP365" s="8"/>
      <c r="BQ365" s="8"/>
      <c r="BR365" s="8"/>
      <c r="BS365" s="8"/>
      <c r="BT365" s="8"/>
      <c r="BU365" s="8"/>
      <c r="BV365" s="8"/>
      <c r="BW365" s="8"/>
      <c r="BX365" s="8"/>
      <c r="BY365" s="8"/>
      <c r="BZ365" s="8"/>
      <c r="CA365" s="8"/>
      <c r="CB365" s="8"/>
      <c r="CC365" s="8"/>
      <c r="CD365" s="8"/>
      <c r="CE365" s="8"/>
      <c r="CF365" s="8"/>
      <c r="CG365" s="8"/>
      <c r="CH365" s="8"/>
      <c r="CI365" s="8"/>
      <c r="CJ365" s="8"/>
      <c r="CK365" s="8"/>
      <c r="CL365" s="8"/>
      <c r="CM365" s="8"/>
      <c r="CN365" s="8"/>
      <c r="CO365" s="8"/>
      <c r="CP365" s="8"/>
      <c r="CQ365" s="8"/>
      <c r="CR365" s="8"/>
      <c r="CS365" s="8"/>
      <c r="CT365" s="8"/>
      <c r="CU365" s="8"/>
    </row>
    <row r="366" spans="1:99" x14ac:dyDescent="0.4">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8"/>
      <c r="BW366" s="8"/>
      <c r="BX366" s="8"/>
      <c r="BY366" s="8"/>
      <c r="BZ366" s="8"/>
      <c r="CA366" s="8"/>
      <c r="CB366" s="8"/>
      <c r="CC366" s="8"/>
      <c r="CD366" s="8"/>
      <c r="CE366" s="8"/>
      <c r="CF366" s="8"/>
      <c r="CG366" s="8"/>
      <c r="CH366" s="8"/>
      <c r="CI366" s="8"/>
      <c r="CJ366" s="8"/>
      <c r="CK366" s="8"/>
      <c r="CL366" s="8"/>
      <c r="CM366" s="8"/>
      <c r="CN366" s="8"/>
      <c r="CO366" s="8"/>
      <c r="CP366" s="8"/>
      <c r="CQ366" s="8"/>
      <c r="CR366" s="8"/>
      <c r="CS366" s="8"/>
      <c r="CT366" s="8"/>
      <c r="CU366" s="8"/>
    </row>
    <row r="367" spans="1:99" x14ac:dyDescent="0.4">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c r="BJ367" s="8"/>
      <c r="BK367" s="8"/>
      <c r="BL367" s="8"/>
      <c r="BM367" s="8"/>
      <c r="BN367" s="8"/>
      <c r="BO367" s="8"/>
      <c r="BP367" s="8"/>
      <c r="BQ367" s="8"/>
      <c r="BR367" s="8"/>
      <c r="BS367" s="8"/>
      <c r="BT367" s="8"/>
      <c r="BU367" s="8"/>
      <c r="BV367" s="8"/>
      <c r="BW367" s="8"/>
      <c r="BX367" s="8"/>
      <c r="BY367" s="8"/>
      <c r="BZ367" s="8"/>
      <c r="CA367" s="8"/>
      <c r="CB367" s="8"/>
      <c r="CC367" s="8"/>
      <c r="CD367" s="8"/>
      <c r="CE367" s="8"/>
      <c r="CF367" s="8"/>
      <c r="CG367" s="8"/>
      <c r="CH367" s="8"/>
      <c r="CI367" s="8"/>
      <c r="CJ367" s="8"/>
      <c r="CK367" s="8"/>
      <c r="CL367" s="8"/>
      <c r="CM367" s="8"/>
      <c r="CN367" s="8"/>
      <c r="CO367" s="8"/>
      <c r="CP367" s="8"/>
      <c r="CQ367" s="8"/>
      <c r="CR367" s="8"/>
      <c r="CS367" s="8"/>
      <c r="CT367" s="8"/>
      <c r="CU367" s="8"/>
    </row>
    <row r="368" spans="1:99" x14ac:dyDescent="0.4">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c r="BJ368" s="8"/>
      <c r="BK368" s="8"/>
      <c r="BL368" s="8"/>
      <c r="BM368" s="8"/>
      <c r="BN368" s="8"/>
      <c r="BO368" s="8"/>
      <c r="BP368" s="8"/>
      <c r="BQ368" s="8"/>
      <c r="BR368" s="8"/>
      <c r="BS368" s="8"/>
      <c r="BT368" s="8"/>
      <c r="BU368" s="8"/>
      <c r="BV368" s="8"/>
      <c r="BW368" s="8"/>
      <c r="BX368" s="8"/>
      <c r="BY368" s="8"/>
      <c r="BZ368" s="8"/>
      <c r="CA368" s="8"/>
      <c r="CB368" s="8"/>
      <c r="CC368" s="8"/>
      <c r="CD368" s="8"/>
      <c r="CE368" s="8"/>
      <c r="CF368" s="8"/>
      <c r="CG368" s="8"/>
      <c r="CH368" s="8"/>
      <c r="CI368" s="8"/>
      <c r="CJ368" s="8"/>
      <c r="CK368" s="8"/>
      <c r="CL368" s="8"/>
      <c r="CM368" s="8"/>
      <c r="CN368" s="8"/>
      <c r="CO368" s="8"/>
      <c r="CP368" s="8"/>
      <c r="CQ368" s="8"/>
      <c r="CR368" s="8"/>
      <c r="CS368" s="8"/>
      <c r="CT368" s="8"/>
      <c r="CU368" s="8"/>
    </row>
    <row r="369" spans="1:99" x14ac:dyDescent="0.4">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c r="BJ369" s="8"/>
      <c r="BK369" s="8"/>
      <c r="BL369" s="8"/>
      <c r="BM369" s="8"/>
      <c r="BN369" s="8"/>
      <c r="BO369" s="8"/>
      <c r="BP369" s="8"/>
      <c r="BQ369" s="8"/>
      <c r="BR369" s="8"/>
      <c r="BS369" s="8"/>
      <c r="BT369" s="8"/>
      <c r="BU369" s="8"/>
      <c r="BV369" s="8"/>
      <c r="BW369" s="8"/>
      <c r="BX369" s="8"/>
      <c r="BY369" s="8"/>
      <c r="BZ369" s="8"/>
      <c r="CA369" s="8"/>
      <c r="CB369" s="8"/>
      <c r="CC369" s="8"/>
      <c r="CD369" s="8"/>
      <c r="CE369" s="8"/>
      <c r="CF369" s="8"/>
      <c r="CG369" s="8"/>
      <c r="CH369" s="8"/>
      <c r="CI369" s="8"/>
      <c r="CJ369" s="8"/>
      <c r="CK369" s="8"/>
      <c r="CL369" s="8"/>
      <c r="CM369" s="8"/>
      <c r="CN369" s="8"/>
      <c r="CO369" s="8"/>
      <c r="CP369" s="8"/>
      <c r="CQ369" s="8"/>
      <c r="CR369" s="8"/>
      <c r="CS369" s="8"/>
      <c r="CT369" s="8"/>
      <c r="CU369" s="8"/>
    </row>
  </sheetData>
  <sheetProtection algorithmName="SHA-512" hashValue="gR8SDxK246I9VUm6VbgbSXBhQn0ENUh+NpvjwFixGrXnLYPi7DaWnUcBU1WFoQHgttPMU6k4VjkU2p4E3MdKtQ==" saltValue="GhbrWghVSIZ7azTlYetGBQ==" spinCount="100000" sheet="1" objects="1" scenarios="1"/>
  <mergeCells count="68">
    <mergeCell ref="C109:G109"/>
    <mergeCell ref="B113:H113"/>
    <mergeCell ref="B98:B103"/>
    <mergeCell ref="B104:G104"/>
    <mergeCell ref="B105:G105"/>
    <mergeCell ref="B106:G106"/>
    <mergeCell ref="B107:G107"/>
    <mergeCell ref="C108:G108"/>
    <mergeCell ref="B92:B97"/>
    <mergeCell ref="F67:H67"/>
    <mergeCell ref="I67:K67"/>
    <mergeCell ref="L67:N67"/>
    <mergeCell ref="B71:N71"/>
    <mergeCell ref="B72:N72"/>
    <mergeCell ref="B73:N73"/>
    <mergeCell ref="B74:N74"/>
    <mergeCell ref="B75:N75"/>
    <mergeCell ref="B77:G77"/>
    <mergeCell ref="B80:B85"/>
    <mergeCell ref="B86:B91"/>
    <mergeCell ref="C57:E57"/>
    <mergeCell ref="B58:E58"/>
    <mergeCell ref="B59:E59"/>
    <mergeCell ref="C61:E61"/>
    <mergeCell ref="B67:B68"/>
    <mergeCell ref="C67:C68"/>
    <mergeCell ref="D67:D68"/>
    <mergeCell ref="E67:E68"/>
    <mergeCell ref="C56:E56"/>
    <mergeCell ref="B39:C39"/>
    <mergeCell ref="B42:E42"/>
    <mergeCell ref="C43:E43"/>
    <mergeCell ref="C44:E44"/>
    <mergeCell ref="C45:E45"/>
    <mergeCell ref="B46:E46"/>
    <mergeCell ref="B48:E48"/>
    <mergeCell ref="B51:E51"/>
    <mergeCell ref="B53:E53"/>
    <mergeCell ref="B54:B55"/>
    <mergeCell ref="C54:E55"/>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 ref="A5:A6"/>
    <mergeCell ref="A8:A9"/>
    <mergeCell ref="A11:A12"/>
    <mergeCell ref="A48:A50"/>
    <mergeCell ref="A53:A59"/>
    <mergeCell ref="A14:A15"/>
    <mergeCell ref="A17:A23"/>
    <mergeCell ref="A26:A33"/>
    <mergeCell ref="A35:A39"/>
    <mergeCell ref="A42:A46"/>
  </mergeCells>
  <pageMargins left="0.7" right="0.7" top="0.75" bottom="0.75" header="0.3" footer="0.3"/>
  <pageSetup paperSize="9" orientation="portrait"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118"/>
  <sheetViews>
    <sheetView topLeftCell="A105" workbookViewId="0">
      <selection activeCell="C108" sqref="C108:G108"/>
    </sheetView>
  </sheetViews>
  <sheetFormatPr defaultColWidth="8.84375" defaultRowHeight="13.25" x14ac:dyDescent="0.4"/>
  <cols>
    <col min="1" max="1" width="8.84375" style="8"/>
    <col min="2" max="2" width="40.84375" style="8" customWidth="1"/>
    <col min="3" max="3" width="35.07421875" style="8" customWidth="1"/>
    <col min="4" max="4" width="15.84375" style="8" customWidth="1"/>
    <col min="5" max="5" width="14" style="8" customWidth="1"/>
    <col min="6" max="6" width="11.3046875" style="8" customWidth="1"/>
    <col min="7" max="7" width="12.69140625" style="8" customWidth="1"/>
    <col min="8" max="16384" width="8.84375" style="8"/>
  </cols>
  <sheetData>
    <row r="1" spans="1:5" ht="12.7" customHeight="1" x14ac:dyDescent="0.4">
      <c r="A1" s="355" t="s">
        <v>0</v>
      </c>
      <c r="B1" s="355"/>
      <c r="D1" s="1"/>
    </row>
    <row r="3" spans="1:5" x14ac:dyDescent="0.4">
      <c r="A3" s="27" t="s">
        <v>1</v>
      </c>
      <c r="B3" s="3" t="s">
        <v>2</v>
      </c>
      <c r="C3" s="4" t="s">
        <v>760</v>
      </c>
    </row>
    <row r="4" spans="1:5" x14ac:dyDescent="0.4">
      <c r="D4" s="5"/>
    </row>
    <row r="5" spans="1:5" ht="12.7" customHeight="1" x14ac:dyDescent="0.4">
      <c r="A5" s="398">
        <v>1</v>
      </c>
      <c r="B5" s="267" t="s">
        <v>3</v>
      </c>
      <c r="C5" s="356" t="s">
        <v>702</v>
      </c>
      <c r="D5" s="357"/>
      <c r="E5" s="358"/>
    </row>
    <row r="6" spans="1:5" x14ac:dyDescent="0.4">
      <c r="A6" s="398"/>
      <c r="B6" s="362" t="s">
        <v>5</v>
      </c>
      <c r="C6" s="359"/>
      <c r="D6" s="359"/>
      <c r="E6" s="10"/>
    </row>
    <row r="7" spans="1:5" x14ac:dyDescent="0.4">
      <c r="A7" s="9"/>
      <c r="B7" s="11"/>
      <c r="D7" s="5"/>
    </row>
    <row r="8" spans="1:5" x14ac:dyDescent="0.4">
      <c r="A8" s="398">
        <v>2</v>
      </c>
      <c r="B8" s="267" t="s">
        <v>6</v>
      </c>
      <c r="C8" s="12" t="s">
        <v>761</v>
      </c>
      <c r="D8" s="5"/>
    </row>
    <row r="9" spans="1:5" x14ac:dyDescent="0.4">
      <c r="A9" s="398"/>
      <c r="B9" s="361" t="s">
        <v>5</v>
      </c>
      <c r="C9" s="361"/>
      <c r="D9" s="362"/>
    </row>
    <row r="10" spans="1:5" x14ac:dyDescent="0.4">
      <c r="A10" s="9"/>
      <c r="B10" s="11"/>
      <c r="D10" s="5"/>
    </row>
    <row r="11" spans="1:5" ht="25.55" customHeight="1" x14ac:dyDescent="0.4">
      <c r="A11" s="398">
        <v>3</v>
      </c>
      <c r="B11" s="267" t="s">
        <v>7</v>
      </c>
      <c r="C11" s="356" t="s">
        <v>1108</v>
      </c>
      <c r="D11" s="357"/>
      <c r="E11" s="358"/>
    </row>
    <row r="12" spans="1:5" x14ac:dyDescent="0.4">
      <c r="A12" s="398"/>
      <c r="B12" s="362" t="s">
        <v>5</v>
      </c>
      <c r="C12" s="359"/>
      <c r="D12" s="359"/>
      <c r="E12" s="10"/>
    </row>
    <row r="13" spans="1:5" x14ac:dyDescent="0.4">
      <c r="A13" s="9"/>
      <c r="B13" s="11"/>
      <c r="D13" s="5"/>
    </row>
    <row r="14" spans="1:5" x14ac:dyDescent="0.4">
      <c r="A14" s="398">
        <v>4</v>
      </c>
      <c r="B14" s="3" t="s">
        <v>9</v>
      </c>
      <c r="C14" s="4" t="s">
        <v>820</v>
      </c>
      <c r="D14" s="5"/>
    </row>
    <row r="15" spans="1:5" x14ac:dyDescent="0.4">
      <c r="A15" s="398"/>
      <c r="B15" s="363" t="s">
        <v>10</v>
      </c>
      <c r="C15" s="364"/>
      <c r="D15" s="5"/>
    </row>
    <row r="16" spans="1:5" x14ac:dyDescent="0.4">
      <c r="A16" s="9"/>
      <c r="D16" s="5"/>
    </row>
    <row r="17" spans="1:14" ht="12.7" customHeight="1" x14ac:dyDescent="0.4">
      <c r="A17" s="398">
        <v>5</v>
      </c>
      <c r="B17" s="365" t="s">
        <v>1082</v>
      </c>
      <c r="C17" s="366"/>
      <c r="D17" s="366"/>
      <c r="E17" s="366"/>
      <c r="F17" s="11"/>
      <c r="G17" s="11"/>
      <c r="H17" s="11"/>
      <c r="I17" s="11"/>
      <c r="J17" s="13"/>
      <c r="K17" s="13"/>
      <c r="L17" s="13"/>
      <c r="M17" s="13"/>
      <c r="N17" s="13"/>
    </row>
    <row r="18" spans="1:14" x14ac:dyDescent="0.4">
      <c r="A18" s="398"/>
      <c r="B18" s="14" t="s">
        <v>12</v>
      </c>
      <c r="C18" s="367" t="s">
        <v>13</v>
      </c>
      <c r="D18" s="367"/>
      <c r="E18" s="367"/>
      <c r="F18" s="15"/>
      <c r="G18" s="13"/>
      <c r="H18" s="13"/>
      <c r="I18" s="13"/>
      <c r="J18" s="13"/>
      <c r="K18" s="13"/>
      <c r="L18" s="13"/>
      <c r="M18" s="13"/>
      <c r="N18" s="13"/>
    </row>
    <row r="19" spans="1:14" ht="25.65" x14ac:dyDescent="0.4">
      <c r="A19" s="398"/>
      <c r="B19" s="14" t="s">
        <v>1132</v>
      </c>
      <c r="C19" s="354" t="s">
        <v>13</v>
      </c>
      <c r="D19" s="354"/>
      <c r="E19" s="354"/>
      <c r="F19" s="15"/>
      <c r="G19" s="13"/>
      <c r="I19" s="13"/>
      <c r="J19" s="13"/>
      <c r="K19" s="13"/>
      <c r="L19" s="13"/>
      <c r="M19" s="13"/>
      <c r="N19" s="13"/>
    </row>
    <row r="20" spans="1:14" x14ac:dyDescent="0.4">
      <c r="A20" s="398"/>
      <c r="B20" s="14" t="s">
        <v>605</v>
      </c>
      <c r="C20" s="354" t="s">
        <v>13</v>
      </c>
      <c r="D20" s="354"/>
      <c r="E20" s="354"/>
      <c r="F20" s="15"/>
      <c r="G20" s="13"/>
      <c r="H20" s="13"/>
      <c r="I20" s="13"/>
      <c r="J20" s="13"/>
      <c r="K20" s="13"/>
      <c r="L20" s="13"/>
      <c r="M20" s="13"/>
      <c r="N20" s="13"/>
    </row>
    <row r="21" spans="1:14" x14ac:dyDescent="0.4">
      <c r="A21" s="398"/>
      <c r="B21" s="14" t="s">
        <v>15</v>
      </c>
      <c r="C21" s="354" t="s">
        <v>13</v>
      </c>
      <c r="D21" s="354"/>
      <c r="E21" s="354"/>
      <c r="F21" s="15"/>
      <c r="G21" s="13"/>
      <c r="H21" s="13"/>
      <c r="I21" s="13"/>
      <c r="J21" s="13"/>
      <c r="K21" s="13"/>
      <c r="L21" s="13"/>
      <c r="M21" s="13"/>
      <c r="N21" s="13"/>
    </row>
    <row r="22" spans="1:14" x14ac:dyDescent="0.4">
      <c r="A22" s="398"/>
      <c r="B22" s="16" t="s">
        <v>16</v>
      </c>
      <c r="C22" s="354" t="s">
        <v>13</v>
      </c>
      <c r="D22" s="354"/>
      <c r="E22" s="354"/>
      <c r="F22" s="15"/>
      <c r="G22" s="13"/>
      <c r="H22" s="13"/>
      <c r="I22" s="13"/>
      <c r="J22" s="13"/>
      <c r="K22" s="13"/>
      <c r="L22" s="13"/>
      <c r="M22" s="13"/>
      <c r="N22" s="13"/>
    </row>
    <row r="23" spans="1:14" ht="12.7" customHeight="1" x14ac:dyDescent="0.4">
      <c r="A23" s="398"/>
      <c r="B23" s="363" t="s">
        <v>709</v>
      </c>
      <c r="C23" s="368"/>
      <c r="D23" s="368"/>
      <c r="E23" s="36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28.5" customHeight="1" x14ac:dyDescent="0.4">
      <c r="A26" s="398">
        <v>6</v>
      </c>
      <c r="B26" s="365" t="s">
        <v>1086</v>
      </c>
      <c r="C26" s="365"/>
      <c r="D26" s="365"/>
      <c r="E26" s="365"/>
      <c r="F26" s="11"/>
      <c r="G26" s="11"/>
      <c r="H26" s="13"/>
      <c r="I26" s="11"/>
      <c r="J26" s="11"/>
    </row>
    <row r="27" spans="1:14" x14ac:dyDescent="0.4">
      <c r="A27" s="398"/>
      <c r="B27" s="370" t="s">
        <v>19</v>
      </c>
      <c r="C27" s="371"/>
      <c r="D27" s="371"/>
      <c r="E27" s="372"/>
      <c r="F27" s="15"/>
    </row>
    <row r="28" spans="1:14" x14ac:dyDescent="0.4">
      <c r="A28" s="398"/>
      <c r="B28" s="17" t="s">
        <v>20</v>
      </c>
      <c r="C28" s="18" t="s">
        <v>262</v>
      </c>
      <c r="D28" s="18" t="s">
        <v>263</v>
      </c>
      <c r="E28" s="18" t="s">
        <v>23</v>
      </c>
      <c r="F28" s="15"/>
    </row>
    <row r="29" spans="1:14" ht="12.7" customHeight="1" x14ac:dyDescent="0.4">
      <c r="A29" s="398"/>
      <c r="B29" s="19" t="s">
        <v>24</v>
      </c>
      <c r="C29" s="20">
        <v>4434.2</v>
      </c>
      <c r="D29" s="20">
        <v>3893.79</v>
      </c>
      <c r="E29" s="113">
        <v>3082.6</v>
      </c>
      <c r="F29" s="15"/>
    </row>
    <row r="30" spans="1:14" x14ac:dyDescent="0.4">
      <c r="A30" s="398"/>
      <c r="B30" s="19" t="s">
        <v>25</v>
      </c>
      <c r="C30" s="20">
        <v>-267.97000000000003</v>
      </c>
      <c r="D30" s="20">
        <v>-170.11</v>
      </c>
      <c r="E30" s="20">
        <v>314.04000000000002</v>
      </c>
      <c r="F30" s="15"/>
    </row>
    <row r="31" spans="1:14" x14ac:dyDescent="0.4">
      <c r="A31" s="398"/>
      <c r="B31" s="19" t="s">
        <v>26</v>
      </c>
      <c r="C31" s="20">
        <v>1428.78</v>
      </c>
      <c r="D31" s="20">
        <v>1428.78</v>
      </c>
      <c r="E31" s="20">
        <v>1428.78</v>
      </c>
      <c r="F31" s="15"/>
    </row>
    <row r="32" spans="1:14" x14ac:dyDescent="0.4">
      <c r="A32" s="398"/>
      <c r="B32" s="19" t="s">
        <v>27</v>
      </c>
      <c r="C32" s="20">
        <v>87.9</v>
      </c>
      <c r="D32" s="101">
        <v>-82.2</v>
      </c>
      <c r="E32" s="20">
        <v>281.67</v>
      </c>
      <c r="F32" s="15"/>
    </row>
    <row r="33" spans="1:10" ht="12.7" customHeight="1" x14ac:dyDescent="0.4">
      <c r="A33" s="398"/>
      <c r="B33" s="363" t="s">
        <v>559</v>
      </c>
      <c r="C33" s="368"/>
      <c r="D33" s="368"/>
      <c r="E33" s="369"/>
      <c r="F33" s="15"/>
    </row>
    <row r="34" spans="1:10" x14ac:dyDescent="0.4">
      <c r="A34" s="9"/>
      <c r="B34" s="13"/>
      <c r="C34" s="15"/>
      <c r="D34" s="15"/>
      <c r="E34" s="15"/>
      <c r="F34" s="15"/>
    </row>
    <row r="35" spans="1:10" ht="27.75" customHeight="1" x14ac:dyDescent="0.4">
      <c r="A35" s="398">
        <v>7</v>
      </c>
      <c r="B35" s="376" t="s">
        <v>28</v>
      </c>
      <c r="C35" s="365"/>
      <c r="D35" s="365"/>
      <c r="E35" s="365"/>
      <c r="F35" s="11"/>
      <c r="G35" s="11"/>
      <c r="H35" s="11"/>
      <c r="I35" s="11"/>
      <c r="J35" s="11"/>
    </row>
    <row r="36" spans="1:10" x14ac:dyDescent="0.4">
      <c r="A36" s="398"/>
      <c r="B36" s="266" t="s">
        <v>29</v>
      </c>
      <c r="C36" s="20" t="s">
        <v>183</v>
      </c>
      <c r="D36" s="13"/>
      <c r="E36" s="13"/>
      <c r="F36" s="13"/>
    </row>
    <row r="37" spans="1:10" x14ac:dyDescent="0.4">
      <c r="A37" s="398"/>
      <c r="B37" s="266" t="s">
        <v>31</v>
      </c>
      <c r="C37" s="20" t="s">
        <v>808</v>
      </c>
      <c r="D37" s="13"/>
      <c r="E37" s="13"/>
      <c r="F37" s="13"/>
    </row>
    <row r="38" spans="1:10" x14ac:dyDescent="0.4">
      <c r="A38" s="398"/>
      <c r="B38" s="274" t="s">
        <v>32</v>
      </c>
      <c r="C38" s="20" t="s">
        <v>808</v>
      </c>
      <c r="D38" s="13"/>
      <c r="E38" s="13"/>
      <c r="F38" s="13"/>
    </row>
    <row r="39" spans="1:10" ht="12.7" customHeight="1" x14ac:dyDescent="0.4">
      <c r="A39" s="398"/>
      <c r="B39" s="362" t="s">
        <v>559</v>
      </c>
      <c r="C39" s="359"/>
      <c r="D39" s="13"/>
      <c r="E39" s="13"/>
      <c r="F39" s="13"/>
    </row>
    <row r="40" spans="1:10" x14ac:dyDescent="0.4">
      <c r="A40" s="9"/>
      <c r="C40" s="13"/>
      <c r="D40" s="13"/>
      <c r="E40" s="13"/>
      <c r="F40" s="13"/>
    </row>
    <row r="41" spans="1:10" x14ac:dyDescent="0.4">
      <c r="A41" s="9"/>
      <c r="B41" s="15"/>
      <c r="C41" s="13"/>
      <c r="D41" s="13"/>
      <c r="E41" s="13"/>
      <c r="F41" s="13"/>
    </row>
    <row r="42" spans="1:10" ht="29.3" customHeight="1" x14ac:dyDescent="0.4">
      <c r="A42" s="494">
        <v>8</v>
      </c>
      <c r="B42" s="365" t="s">
        <v>1084</v>
      </c>
      <c r="C42" s="365"/>
      <c r="D42" s="365"/>
      <c r="E42" s="365"/>
      <c r="F42" s="11"/>
      <c r="G42" s="11"/>
      <c r="H42" s="11"/>
      <c r="I42" s="11"/>
      <c r="J42" s="11"/>
    </row>
    <row r="43" spans="1:10" ht="12.7" customHeight="1" x14ac:dyDescent="0.4">
      <c r="A43" s="494"/>
      <c r="B43" s="17" t="s">
        <v>34</v>
      </c>
      <c r="C43" s="448" t="s">
        <v>13</v>
      </c>
      <c r="D43" s="449"/>
      <c r="E43" s="449"/>
      <c r="F43" s="13"/>
    </row>
    <row r="44" spans="1:10" x14ac:dyDescent="0.4">
      <c r="A44" s="494"/>
      <c r="B44" s="17" t="s">
        <v>31</v>
      </c>
      <c r="C44" s="373" t="s">
        <v>882</v>
      </c>
      <c r="D44" s="374"/>
      <c r="E44" s="375"/>
      <c r="F44" s="13"/>
    </row>
    <row r="45" spans="1:10" x14ac:dyDescent="0.4">
      <c r="A45" s="494"/>
      <c r="B45" s="17" t="s">
        <v>32</v>
      </c>
      <c r="C45" s="373" t="s">
        <v>883</v>
      </c>
      <c r="D45" s="374"/>
      <c r="E45" s="375"/>
      <c r="F45" s="13"/>
    </row>
    <row r="46" spans="1:10" ht="12.7" customHeight="1" x14ac:dyDescent="0.4">
      <c r="A46" s="494"/>
      <c r="B46" s="363" t="s">
        <v>35</v>
      </c>
      <c r="C46" s="368"/>
      <c r="D46" s="368"/>
      <c r="E46" s="369"/>
      <c r="F46" s="13"/>
    </row>
    <row r="47" spans="1:10" x14ac:dyDescent="0.4">
      <c r="A47" s="2"/>
      <c r="D47" s="23"/>
      <c r="E47" s="13"/>
    </row>
    <row r="48" spans="1:10" ht="12.7" customHeight="1" x14ac:dyDescent="0.4">
      <c r="A48" s="398">
        <v>9</v>
      </c>
      <c r="B48" s="376" t="s">
        <v>1085</v>
      </c>
      <c r="C48" s="365"/>
      <c r="D48" s="365"/>
      <c r="E48" s="365"/>
      <c r="F48" s="25"/>
      <c r="G48" s="11"/>
      <c r="H48" s="11"/>
      <c r="I48" s="11"/>
    </row>
    <row r="49" spans="1:14" ht="51.25" x14ac:dyDescent="0.4">
      <c r="A49" s="398"/>
      <c r="B49" s="26" t="s">
        <v>37</v>
      </c>
      <c r="C49" s="27" t="s">
        <v>38</v>
      </c>
      <c r="D49" s="28" t="s">
        <v>39</v>
      </c>
      <c r="E49" s="27" t="s">
        <v>206</v>
      </c>
    </row>
    <row r="50" spans="1:14" ht="119.3" x14ac:dyDescent="0.4">
      <c r="A50" s="398"/>
      <c r="B50" s="78" t="s">
        <v>307</v>
      </c>
      <c r="C50" s="278" t="s">
        <v>884</v>
      </c>
      <c r="D50" s="281" t="s">
        <v>885</v>
      </c>
      <c r="E50" s="160" t="s">
        <v>41</v>
      </c>
    </row>
    <row r="51" spans="1:14" x14ac:dyDescent="0.35">
      <c r="A51" s="398"/>
      <c r="B51" s="392" t="s">
        <v>48</v>
      </c>
      <c r="C51" s="392"/>
      <c r="D51" s="392"/>
      <c r="E51" s="392"/>
    </row>
    <row r="52" spans="1:14" x14ac:dyDescent="0.4">
      <c r="A52" s="9"/>
      <c r="B52" s="62"/>
      <c r="C52" s="23"/>
      <c r="D52" s="23"/>
      <c r="E52" s="23"/>
      <c r="F52" s="15"/>
      <c r="G52" s="15"/>
      <c r="H52" s="15"/>
      <c r="I52" s="15"/>
    </row>
    <row r="53" spans="1:14" ht="12.7" customHeight="1" x14ac:dyDescent="0.4">
      <c r="A53" s="398">
        <v>10</v>
      </c>
      <c r="B53" s="376" t="s">
        <v>1129</v>
      </c>
      <c r="C53" s="365"/>
      <c r="D53" s="365"/>
      <c r="E53" s="365"/>
      <c r="F53" s="15"/>
      <c r="G53" s="15"/>
      <c r="H53" s="15"/>
    </row>
    <row r="54" spans="1:14" ht="12.7" customHeight="1" x14ac:dyDescent="0.4">
      <c r="A54" s="398"/>
      <c r="B54" s="383" t="s">
        <v>43</v>
      </c>
      <c r="C54" s="481" t="s">
        <v>886</v>
      </c>
      <c r="D54" s="482"/>
      <c r="E54" s="483"/>
      <c r="K54" s="1"/>
    </row>
    <row r="55" spans="1:14" ht="27.05" customHeight="1" x14ac:dyDescent="0.4">
      <c r="A55" s="398"/>
      <c r="B55" s="384"/>
      <c r="C55" s="484"/>
      <c r="D55" s="485"/>
      <c r="E55" s="486"/>
      <c r="K55" s="1"/>
    </row>
    <row r="56" spans="1:14" ht="43.55" customHeight="1" x14ac:dyDescent="0.4">
      <c r="A56" s="398"/>
      <c r="B56" s="33" t="s">
        <v>44</v>
      </c>
      <c r="C56" s="479" t="s">
        <v>887</v>
      </c>
      <c r="D56" s="479"/>
      <c r="E56" s="479"/>
    </row>
    <row r="57" spans="1:14" x14ac:dyDescent="0.4">
      <c r="A57" s="398"/>
      <c r="B57" s="33" t="s">
        <v>45</v>
      </c>
      <c r="C57" s="471" t="s">
        <v>46</v>
      </c>
      <c r="D57" s="472"/>
      <c r="E57" s="473"/>
      <c r="K57" s="34"/>
    </row>
    <row r="58" spans="1:14" s="63" customFormat="1" x14ac:dyDescent="0.35">
      <c r="A58" s="398"/>
      <c r="B58" s="392" t="s">
        <v>48</v>
      </c>
      <c r="C58" s="392"/>
      <c r="D58" s="392"/>
      <c r="E58" s="392"/>
    </row>
    <row r="59" spans="1:14" x14ac:dyDescent="0.4">
      <c r="A59" s="40"/>
      <c r="B59" s="41"/>
      <c r="C59" s="42"/>
      <c r="D59" s="42"/>
      <c r="E59" s="42"/>
      <c r="F59" s="42"/>
    </row>
    <row r="60" spans="1:14" ht="12.7" customHeight="1" x14ac:dyDescent="0.4">
      <c r="A60" s="18">
        <v>11</v>
      </c>
      <c r="B60" s="3" t="s">
        <v>49</v>
      </c>
      <c r="C60" s="393" t="s">
        <v>1037</v>
      </c>
      <c r="D60" s="393"/>
      <c r="E60" s="393"/>
      <c r="F60" s="11"/>
      <c r="G60" s="11"/>
      <c r="H60" s="43"/>
      <c r="I60" s="11"/>
      <c r="J60" s="11"/>
    </row>
    <row r="61" spans="1:14" x14ac:dyDescent="0.4">
      <c r="A61" s="9"/>
      <c r="B61" s="15"/>
      <c r="C61" s="15"/>
      <c r="D61" s="15"/>
      <c r="E61" s="15"/>
      <c r="F61" s="15"/>
      <c r="G61" s="15"/>
      <c r="H61" s="44"/>
      <c r="I61" s="44"/>
      <c r="J61" s="15"/>
    </row>
    <row r="62" spans="1:14" x14ac:dyDescent="0.4">
      <c r="A62" s="9">
        <v>12</v>
      </c>
      <c r="B62" s="11" t="s">
        <v>51</v>
      </c>
      <c r="C62" s="11"/>
      <c r="D62" s="11"/>
      <c r="E62" s="43"/>
      <c r="F62" s="43"/>
      <c r="G62" s="11"/>
      <c r="H62" s="11"/>
      <c r="I62" s="11"/>
      <c r="J62" s="11"/>
      <c r="K62" s="11"/>
      <c r="L62" s="11"/>
      <c r="M62" s="11"/>
      <c r="N62" s="11"/>
    </row>
    <row r="63" spans="1:14" x14ac:dyDescent="0.4">
      <c r="A63" s="9"/>
      <c r="B63" s="11"/>
      <c r="C63" s="11"/>
      <c r="D63" s="11"/>
      <c r="E63" s="43"/>
      <c r="F63" s="43"/>
      <c r="G63" s="43"/>
      <c r="H63" s="11"/>
      <c r="I63" s="11"/>
      <c r="J63" s="11"/>
      <c r="K63" s="11"/>
      <c r="L63" s="11"/>
      <c r="M63" s="11"/>
      <c r="N63" s="11"/>
    </row>
    <row r="64" spans="1:14" x14ac:dyDescent="0.4">
      <c r="A64" s="9"/>
      <c r="B64" s="17" t="s">
        <v>52</v>
      </c>
      <c r="C64" s="19" t="s">
        <v>763</v>
      </c>
      <c r="D64" s="15"/>
      <c r="E64" s="15"/>
      <c r="F64" s="44"/>
      <c r="G64" s="44"/>
      <c r="H64" s="15"/>
      <c r="I64" s="15"/>
      <c r="J64" s="15"/>
      <c r="K64" s="15"/>
      <c r="L64" s="15"/>
      <c r="M64" s="15"/>
      <c r="N64" s="15"/>
    </row>
    <row r="65" spans="1:14" x14ac:dyDescent="0.4">
      <c r="A65" s="9"/>
      <c r="B65" s="15"/>
      <c r="C65" s="15"/>
      <c r="D65" s="118"/>
      <c r="E65" s="118"/>
      <c r="F65" s="15"/>
      <c r="G65" s="15"/>
      <c r="H65" s="15"/>
      <c r="I65" s="15"/>
      <c r="J65" s="15"/>
      <c r="K65" s="15"/>
      <c r="L65" s="15"/>
      <c r="M65" s="15"/>
      <c r="N65" s="15"/>
    </row>
    <row r="66" spans="1:14" ht="12.7" customHeight="1" x14ac:dyDescent="0.4">
      <c r="A66" s="9"/>
      <c r="B66" s="365" t="s">
        <v>53</v>
      </c>
      <c r="C66" s="366" t="s">
        <v>764</v>
      </c>
      <c r="D66" s="366" t="s">
        <v>271</v>
      </c>
      <c r="E66" s="403" t="s">
        <v>232</v>
      </c>
      <c r="F66" s="395" t="s">
        <v>864</v>
      </c>
      <c r="G66" s="396"/>
      <c r="H66" s="397"/>
      <c r="I66" s="398" t="s">
        <v>865</v>
      </c>
      <c r="J66" s="398"/>
      <c r="K66" s="398"/>
      <c r="L66" s="398" t="s">
        <v>56</v>
      </c>
      <c r="M66" s="398"/>
      <c r="N66" s="398"/>
    </row>
    <row r="67" spans="1:14" ht="38.450000000000003" x14ac:dyDescent="0.4">
      <c r="A67" s="2"/>
      <c r="B67" s="365"/>
      <c r="C67" s="402"/>
      <c r="D67" s="402"/>
      <c r="E67" s="404"/>
      <c r="F67" s="17" t="s">
        <v>57</v>
      </c>
      <c r="G67" s="17" t="s">
        <v>888</v>
      </c>
      <c r="H67" s="17" t="s">
        <v>59</v>
      </c>
      <c r="I67" s="17" t="s">
        <v>60</v>
      </c>
      <c r="J67" s="17" t="s">
        <v>58</v>
      </c>
      <c r="K67" s="17" t="s">
        <v>59</v>
      </c>
      <c r="L67" s="17" t="s">
        <v>60</v>
      </c>
      <c r="M67" s="17" t="s">
        <v>58</v>
      </c>
      <c r="N67" s="17" t="s">
        <v>59</v>
      </c>
    </row>
    <row r="68" spans="1:14" x14ac:dyDescent="0.4">
      <c r="A68" s="2"/>
      <c r="B68" s="17" t="s">
        <v>61</v>
      </c>
      <c r="C68" s="111">
        <v>18</v>
      </c>
      <c r="D68" s="45">
        <v>17</v>
      </c>
      <c r="E68" s="45">
        <v>15.6</v>
      </c>
      <c r="F68" s="45">
        <v>18</v>
      </c>
      <c r="G68" s="45">
        <v>18</v>
      </c>
      <c r="H68" s="45">
        <v>17.5</v>
      </c>
      <c r="I68" s="45">
        <v>18</v>
      </c>
      <c r="J68" s="45">
        <v>18</v>
      </c>
      <c r="K68" s="45">
        <v>12.1</v>
      </c>
      <c r="L68" s="45">
        <v>14</v>
      </c>
      <c r="M68" s="45">
        <v>18.600000000000001</v>
      </c>
      <c r="N68" s="45">
        <v>11.8</v>
      </c>
    </row>
    <row r="69" spans="1:14" ht="25.65" x14ac:dyDescent="0.4">
      <c r="A69" s="2"/>
      <c r="B69" s="17" t="s">
        <v>889</v>
      </c>
      <c r="C69" s="111">
        <v>31390.07</v>
      </c>
      <c r="D69" s="111">
        <v>30379.81</v>
      </c>
      <c r="E69" s="45">
        <v>33228.800000000003</v>
      </c>
      <c r="F69" s="45">
        <v>29468.49</v>
      </c>
      <c r="G69" s="45">
        <v>42273.87</v>
      </c>
      <c r="H69" s="45">
        <v>25638.9</v>
      </c>
      <c r="I69" s="45">
        <v>49509.15</v>
      </c>
      <c r="J69" s="45">
        <v>52516.76</v>
      </c>
      <c r="K69" s="45">
        <v>27500.79</v>
      </c>
      <c r="L69" s="45">
        <v>58568.51</v>
      </c>
      <c r="M69" s="45">
        <v>58890.92</v>
      </c>
      <c r="N69" s="45">
        <v>58485.79</v>
      </c>
    </row>
    <row r="70" spans="1:14" x14ac:dyDescent="0.4">
      <c r="A70" s="2"/>
      <c r="B70" s="401" t="s">
        <v>17</v>
      </c>
      <c r="C70" s="459"/>
      <c r="D70" s="459"/>
      <c r="E70" s="401"/>
      <c r="F70" s="401"/>
      <c r="G70" s="401"/>
      <c r="H70" s="401"/>
      <c r="I70" s="401"/>
      <c r="J70" s="401"/>
      <c r="K70" s="401"/>
      <c r="L70" s="401"/>
      <c r="M70" s="401"/>
      <c r="N70" s="401"/>
    </row>
    <row r="71" spans="1:14" ht="12.7" customHeight="1" x14ac:dyDescent="0.4">
      <c r="A71" s="2"/>
      <c r="B71" s="359" t="s">
        <v>63</v>
      </c>
      <c r="C71" s="359"/>
      <c r="D71" s="359"/>
      <c r="E71" s="359"/>
      <c r="F71" s="359"/>
      <c r="G71" s="359"/>
      <c r="H71" s="359"/>
      <c r="I71" s="359"/>
      <c r="J71" s="359"/>
      <c r="K71" s="359"/>
      <c r="L71" s="359"/>
      <c r="M71" s="359"/>
      <c r="N71" s="359"/>
    </row>
    <row r="72" spans="1:14" s="1" customFormat="1" ht="12.7" customHeight="1" x14ac:dyDescent="0.4">
      <c r="B72" s="359" t="s">
        <v>64</v>
      </c>
      <c r="C72" s="359"/>
      <c r="D72" s="359"/>
      <c r="E72" s="359"/>
      <c r="F72" s="359"/>
      <c r="G72" s="359"/>
      <c r="H72" s="359"/>
      <c r="I72" s="359"/>
      <c r="J72" s="359"/>
      <c r="K72" s="359"/>
      <c r="L72" s="359"/>
      <c r="M72" s="359"/>
      <c r="N72" s="359"/>
    </row>
    <row r="73" spans="1:14" ht="12.7" customHeight="1" x14ac:dyDescent="0.4">
      <c r="A73" s="2"/>
      <c r="B73" s="359" t="s">
        <v>358</v>
      </c>
      <c r="C73" s="359"/>
      <c r="D73" s="359"/>
      <c r="E73" s="359"/>
      <c r="F73" s="359"/>
      <c r="G73" s="359"/>
      <c r="H73" s="359"/>
      <c r="I73" s="359"/>
      <c r="J73" s="359"/>
      <c r="K73" s="359"/>
      <c r="L73" s="359"/>
      <c r="M73" s="359"/>
      <c r="N73" s="359"/>
    </row>
    <row r="74" spans="1:14" ht="12.7" customHeight="1" x14ac:dyDescent="0.4">
      <c r="A74" s="2"/>
      <c r="B74" s="359" t="s">
        <v>65</v>
      </c>
      <c r="C74" s="359"/>
      <c r="D74" s="359"/>
      <c r="E74" s="359"/>
      <c r="F74" s="359"/>
      <c r="G74" s="359"/>
      <c r="H74" s="359"/>
      <c r="I74" s="359"/>
      <c r="J74" s="359"/>
      <c r="K74" s="359"/>
      <c r="L74" s="359"/>
      <c r="M74" s="359"/>
      <c r="N74" s="359"/>
    </row>
    <row r="75" spans="1:14" x14ac:dyDescent="0.4">
      <c r="A75" s="2"/>
      <c r="B75" s="49"/>
      <c r="C75" s="49"/>
      <c r="D75" s="49"/>
      <c r="E75" s="49"/>
      <c r="F75" s="49"/>
      <c r="G75" s="13"/>
      <c r="H75" s="13"/>
      <c r="I75" s="13"/>
      <c r="J75" s="13"/>
      <c r="K75" s="13"/>
      <c r="L75" s="13"/>
      <c r="M75" s="13"/>
      <c r="N75" s="13"/>
    </row>
    <row r="76" spans="1:14" ht="41.3" customHeight="1" x14ac:dyDescent="0.4">
      <c r="A76" s="9">
        <v>13</v>
      </c>
      <c r="B76" s="405" t="s">
        <v>66</v>
      </c>
      <c r="C76" s="406"/>
      <c r="D76" s="406"/>
      <c r="E76" s="406"/>
      <c r="F76" s="406"/>
      <c r="G76" s="376"/>
      <c r="H76" s="11"/>
      <c r="I76" s="11"/>
      <c r="J76" s="45"/>
      <c r="K76" s="45"/>
      <c r="L76" s="45"/>
      <c r="M76" s="11"/>
      <c r="N76" s="11"/>
    </row>
    <row r="77" spans="1:14" x14ac:dyDescent="0.4">
      <c r="A77" s="9"/>
      <c r="C77" s="15"/>
      <c r="D77" s="15"/>
      <c r="E77" s="15"/>
      <c r="F77" s="15"/>
      <c r="G77" s="15"/>
      <c r="H77" s="15"/>
      <c r="I77" s="15"/>
      <c r="J77" s="15"/>
      <c r="K77" s="15"/>
      <c r="L77" s="15"/>
      <c r="M77" s="15"/>
      <c r="N77" s="15"/>
    </row>
    <row r="78" spans="1:14" ht="25.65" x14ac:dyDescent="0.4">
      <c r="A78" s="2"/>
      <c r="B78" s="50" t="s">
        <v>67</v>
      </c>
      <c r="C78" s="18" t="s">
        <v>68</v>
      </c>
      <c r="D78" s="18" t="s">
        <v>1133</v>
      </c>
      <c r="E78" s="18" t="s">
        <v>218</v>
      </c>
      <c r="F78" s="18" t="s">
        <v>71</v>
      </c>
      <c r="G78" s="18" t="s">
        <v>107</v>
      </c>
      <c r="H78" s="13"/>
      <c r="I78" s="13"/>
      <c r="J78" s="13"/>
      <c r="K78" s="13"/>
      <c r="L78" s="13"/>
      <c r="M78" s="13"/>
      <c r="N78" s="13"/>
    </row>
    <row r="79" spans="1:14" ht="12.7" customHeight="1" x14ac:dyDescent="0.35">
      <c r="A79" s="2"/>
      <c r="B79" s="394" t="s">
        <v>72</v>
      </c>
      <c r="C79" s="3" t="s">
        <v>769</v>
      </c>
      <c r="D79" s="65">
        <v>2.54</v>
      </c>
      <c r="E79" s="65">
        <v>-2.52</v>
      </c>
      <c r="F79" s="65">
        <v>-1.19</v>
      </c>
      <c r="G79" s="66">
        <v>2.5499999999999998</v>
      </c>
      <c r="H79" s="53"/>
      <c r="I79" s="53"/>
      <c r="J79" s="53"/>
      <c r="K79" s="53"/>
      <c r="L79" s="53"/>
      <c r="M79" s="53"/>
      <c r="N79" s="53"/>
    </row>
    <row r="80" spans="1:14" x14ac:dyDescent="0.4">
      <c r="A80" s="2"/>
      <c r="B80" s="394"/>
      <c r="C80" s="3" t="s">
        <v>765</v>
      </c>
      <c r="D80" s="54"/>
      <c r="E80" s="54"/>
      <c r="F80" s="54"/>
      <c r="G80" s="66"/>
      <c r="H80" s="53"/>
      <c r="I80" s="53"/>
      <c r="J80" s="53"/>
      <c r="K80" s="53"/>
      <c r="L80" s="53"/>
      <c r="M80" s="53"/>
      <c r="N80" s="53"/>
    </row>
    <row r="81" spans="1:14" x14ac:dyDescent="0.4">
      <c r="A81" s="2"/>
      <c r="B81" s="394"/>
      <c r="C81" s="21" t="s">
        <v>766</v>
      </c>
      <c r="D81" s="54">
        <v>0.2</v>
      </c>
      <c r="E81" s="54">
        <v>20.38</v>
      </c>
      <c r="F81" s="54">
        <v>-4.72</v>
      </c>
      <c r="G81" s="70">
        <v>-27.749770399238123</v>
      </c>
      <c r="H81" s="53"/>
      <c r="I81" s="53"/>
      <c r="J81" s="53"/>
      <c r="K81" s="53"/>
      <c r="L81" s="53"/>
      <c r="M81" s="53"/>
      <c r="N81" s="53"/>
    </row>
    <row r="82" spans="1:14" ht="26.5" x14ac:dyDescent="0.4">
      <c r="A82" s="2"/>
      <c r="B82" s="394"/>
      <c r="C82" s="21" t="s">
        <v>767</v>
      </c>
      <c r="D82" s="54">
        <v>4.93</v>
      </c>
      <c r="E82" s="54">
        <v>-5.56</v>
      </c>
      <c r="F82" s="54">
        <v>-9.9600000000000009</v>
      </c>
      <c r="G82" s="70">
        <v>-12.429121338912134</v>
      </c>
      <c r="H82" s="53"/>
      <c r="I82" s="53"/>
      <c r="J82" s="53"/>
      <c r="K82" s="53"/>
      <c r="L82" s="53"/>
      <c r="M82" s="53"/>
      <c r="N82" s="53"/>
    </row>
    <row r="83" spans="1:14" x14ac:dyDescent="0.4">
      <c r="A83" s="2"/>
      <c r="B83" s="394"/>
      <c r="C83" s="21" t="s">
        <v>768</v>
      </c>
      <c r="D83" s="54">
        <v>-2.3199999999999998</v>
      </c>
      <c r="E83" s="54">
        <v>-24.43</v>
      </c>
      <c r="F83" s="54">
        <v>-14.48</v>
      </c>
      <c r="G83" s="70">
        <v>-11.10033001991088</v>
      </c>
      <c r="H83" s="53"/>
      <c r="I83" s="53"/>
      <c r="J83" s="53"/>
      <c r="K83" s="53"/>
      <c r="L83" s="53"/>
      <c r="M83" s="53"/>
      <c r="N83" s="53"/>
    </row>
    <row r="84" spans="1:14" x14ac:dyDescent="0.4">
      <c r="A84" s="2"/>
      <c r="B84" s="394"/>
      <c r="C84" s="3" t="s">
        <v>74</v>
      </c>
      <c r="D84" s="127">
        <f>(D81+D82+D83)/3</f>
        <v>0.93666666666666665</v>
      </c>
      <c r="E84" s="127">
        <f t="shared" ref="E84:G84" si="0">(E81+E82+E83)/3</f>
        <v>-3.2033333333333331</v>
      </c>
      <c r="F84" s="127">
        <f t="shared" si="0"/>
        <v>-9.7200000000000006</v>
      </c>
      <c r="G84" s="130">
        <f t="shared" si="0"/>
        <v>-17.09307391935371</v>
      </c>
      <c r="H84" s="53"/>
      <c r="I84" s="53"/>
      <c r="J84" s="53"/>
      <c r="K84" s="53"/>
      <c r="L84" s="53"/>
      <c r="M84" s="53"/>
      <c r="N84" s="53"/>
    </row>
    <row r="85" spans="1:14" x14ac:dyDescent="0.35">
      <c r="A85" s="2"/>
      <c r="B85" s="394" t="s">
        <v>75</v>
      </c>
      <c r="C85" s="3" t="s">
        <v>769</v>
      </c>
      <c r="D85" s="77">
        <v>7.09</v>
      </c>
      <c r="E85" s="77">
        <f>18/E79</f>
        <v>-7.1428571428571432</v>
      </c>
      <c r="F85" s="77">
        <f>18/F79</f>
        <v>-15.126050420168069</v>
      </c>
      <c r="G85" s="70">
        <f>L68/G79</f>
        <v>5.4901960784313726</v>
      </c>
      <c r="H85" s="53"/>
      <c r="I85" s="53"/>
      <c r="J85" s="53"/>
      <c r="K85" s="53"/>
      <c r="L85" s="53"/>
      <c r="M85" s="53"/>
      <c r="N85" s="53"/>
    </row>
    <row r="86" spans="1:14" x14ac:dyDescent="0.4">
      <c r="A86" s="2"/>
      <c r="B86" s="394"/>
      <c r="C86" s="3" t="s">
        <v>73</v>
      </c>
      <c r="D86" s="54"/>
      <c r="E86" s="54"/>
      <c r="F86" s="54"/>
      <c r="G86" s="66"/>
      <c r="H86" s="53"/>
      <c r="I86" s="53"/>
      <c r="J86" s="53"/>
      <c r="K86" s="53"/>
      <c r="L86" s="53"/>
      <c r="M86" s="53"/>
      <c r="N86" s="53"/>
    </row>
    <row r="87" spans="1:14" x14ac:dyDescent="0.4">
      <c r="A87" s="2"/>
      <c r="B87" s="394"/>
      <c r="C87" s="21" t="s">
        <v>766</v>
      </c>
      <c r="D87" s="54">
        <v>189.25</v>
      </c>
      <c r="E87" s="54">
        <f>19.6/E81</f>
        <v>0.96172718351324837</v>
      </c>
      <c r="F87" s="186">
        <v>0</v>
      </c>
      <c r="G87" s="70">
        <v>204.627614759615</v>
      </c>
      <c r="H87" s="53"/>
      <c r="I87" s="53"/>
      <c r="J87" s="53"/>
      <c r="K87" s="53"/>
      <c r="L87" s="53"/>
      <c r="M87" s="53"/>
      <c r="N87" s="53"/>
    </row>
    <row r="88" spans="1:14" ht="26.5" x14ac:dyDescent="0.4">
      <c r="A88" s="2"/>
      <c r="B88" s="394"/>
      <c r="C88" s="21" t="s">
        <v>767</v>
      </c>
      <c r="D88" s="54">
        <v>10.55</v>
      </c>
      <c r="E88" s="186">
        <v>0</v>
      </c>
      <c r="F88" s="186">
        <v>0</v>
      </c>
      <c r="G88" s="70">
        <v>0</v>
      </c>
      <c r="H88" s="53"/>
      <c r="I88" s="53"/>
      <c r="J88" s="53"/>
      <c r="K88" s="53"/>
      <c r="L88" s="53"/>
      <c r="M88" s="53"/>
      <c r="N88" s="53"/>
    </row>
    <row r="89" spans="1:14" x14ac:dyDescent="0.4">
      <c r="A89" s="2"/>
      <c r="B89" s="394"/>
      <c r="C89" s="21" t="s">
        <v>768</v>
      </c>
      <c r="D89" s="54">
        <v>0</v>
      </c>
      <c r="E89" s="186">
        <v>0</v>
      </c>
      <c r="F89" s="186">
        <v>0</v>
      </c>
      <c r="G89" s="70">
        <v>0</v>
      </c>
      <c r="H89" s="53"/>
      <c r="I89" s="53"/>
      <c r="J89" s="53"/>
      <c r="K89" s="53"/>
      <c r="L89" s="53"/>
      <c r="M89" s="53"/>
      <c r="N89" s="53"/>
    </row>
    <row r="90" spans="1:14" x14ac:dyDescent="0.4">
      <c r="A90" s="2"/>
      <c r="B90" s="394"/>
      <c r="C90" s="3" t="s">
        <v>74</v>
      </c>
      <c r="D90" s="127">
        <f>(D87+D88+D89)/3</f>
        <v>66.600000000000009</v>
      </c>
      <c r="E90" s="127">
        <f t="shared" ref="E90:G90" si="1">(E87+E88+E89)/3</f>
        <v>0.32057572783774946</v>
      </c>
      <c r="F90" s="127">
        <f t="shared" si="1"/>
        <v>0</v>
      </c>
      <c r="G90" s="130">
        <f t="shared" si="1"/>
        <v>68.209204919871667</v>
      </c>
      <c r="H90" s="53"/>
      <c r="I90" s="53"/>
      <c r="J90" s="53"/>
      <c r="K90" s="53"/>
      <c r="L90" s="53"/>
      <c r="M90" s="53"/>
      <c r="N90" s="53"/>
    </row>
    <row r="91" spans="1:14" x14ac:dyDescent="0.35">
      <c r="A91" s="2"/>
      <c r="B91" s="394" t="s">
        <v>76</v>
      </c>
      <c r="C91" s="3" t="s">
        <v>770</v>
      </c>
      <c r="D91" s="97">
        <v>0.23680000000000001</v>
      </c>
      <c r="E91" s="77">
        <f>C30/1516.68*100</f>
        <v>-17.668196323548806</v>
      </c>
      <c r="F91" s="77">
        <f>D30/1346.59*100</f>
        <v>-12.632649878582198</v>
      </c>
      <c r="G91" s="71">
        <f>363.86 /1710.45</f>
        <v>0.21272764477184367</v>
      </c>
      <c r="H91" s="53"/>
      <c r="I91" s="53"/>
      <c r="J91" s="53"/>
      <c r="K91" s="53"/>
      <c r="L91" s="53"/>
      <c r="M91" s="53"/>
      <c r="N91" s="53"/>
    </row>
    <row r="92" spans="1:14" x14ac:dyDescent="0.4">
      <c r="A92" s="2"/>
      <c r="B92" s="394"/>
      <c r="C92" s="3" t="s">
        <v>73</v>
      </c>
      <c r="D92" s="54"/>
      <c r="E92" s="54"/>
      <c r="F92" s="54"/>
      <c r="G92" s="66"/>
      <c r="H92" s="53"/>
      <c r="I92" s="53"/>
      <c r="J92" s="53"/>
      <c r="K92" s="53"/>
      <c r="L92" s="53"/>
      <c r="M92" s="53"/>
      <c r="N92" s="53"/>
    </row>
    <row r="93" spans="1:14" x14ac:dyDescent="0.4">
      <c r="A93" s="2"/>
      <c r="B93" s="394"/>
      <c r="C93" s="21" t="s">
        <v>766</v>
      </c>
      <c r="D93" s="54">
        <v>0.19</v>
      </c>
      <c r="E93" s="54">
        <v>-16.059999999999999</v>
      </c>
      <c r="F93" s="54">
        <v>-3.52</v>
      </c>
      <c r="G93" s="70">
        <v>-3.62086460604668</v>
      </c>
      <c r="H93" s="53"/>
      <c r="I93" s="53"/>
      <c r="J93" s="53"/>
      <c r="K93" s="53"/>
      <c r="L93" s="53"/>
      <c r="M93" s="53"/>
      <c r="N93" s="53"/>
    </row>
    <row r="94" spans="1:14" ht="26.5" x14ac:dyDescent="0.4">
      <c r="A94" s="2"/>
      <c r="B94" s="394"/>
      <c r="C94" s="21" t="s">
        <v>767</v>
      </c>
      <c r="D94" s="54">
        <v>2.71</v>
      </c>
      <c r="E94" s="54">
        <v>-3.19</v>
      </c>
      <c r="F94" s="54">
        <v>-5.86</v>
      </c>
      <c r="G94" s="70">
        <v>-5.7055120437124804</v>
      </c>
      <c r="H94" s="53"/>
      <c r="I94" s="53"/>
      <c r="J94" s="53"/>
      <c r="K94" s="53"/>
      <c r="L94" s="53"/>
      <c r="M94" s="53"/>
      <c r="N94" s="53"/>
    </row>
    <row r="95" spans="1:14" x14ac:dyDescent="0.4">
      <c r="A95" s="2"/>
      <c r="B95" s="394"/>
      <c r="C95" s="21" t="s">
        <v>768</v>
      </c>
      <c r="D95" s="54">
        <v>-4.29</v>
      </c>
      <c r="E95" s="54">
        <v>-63.87</v>
      </c>
      <c r="F95" s="54">
        <v>-191.62</v>
      </c>
      <c r="G95" s="70">
        <v>-141.78228629818099</v>
      </c>
      <c r="H95" s="53"/>
      <c r="I95" s="53"/>
      <c r="J95" s="53"/>
      <c r="K95" s="53"/>
      <c r="L95" s="53"/>
      <c r="M95" s="53"/>
      <c r="N95" s="53"/>
    </row>
    <row r="96" spans="1:14" x14ac:dyDescent="0.4">
      <c r="A96" s="2"/>
      <c r="B96" s="394"/>
      <c r="C96" s="3" t="s">
        <v>74</v>
      </c>
      <c r="D96" s="127">
        <f>(D93+D94+D95)/3</f>
        <v>-0.46333333333333337</v>
      </c>
      <c r="E96" s="127">
        <f t="shared" ref="E96:G96" si="2">(E93+E94+E95)/3</f>
        <v>-27.706666666666667</v>
      </c>
      <c r="F96" s="127">
        <f t="shared" si="2"/>
        <v>-67</v>
      </c>
      <c r="G96" s="130">
        <f t="shared" si="2"/>
        <v>-50.369554315980054</v>
      </c>
      <c r="H96" s="53"/>
      <c r="I96" s="53"/>
      <c r="J96" s="53"/>
      <c r="K96" s="57"/>
      <c r="L96" s="53"/>
      <c r="M96" s="53"/>
      <c r="N96" s="53"/>
    </row>
    <row r="97" spans="1:14" x14ac:dyDescent="0.35">
      <c r="A97" s="2"/>
      <c r="B97" s="394" t="s">
        <v>77</v>
      </c>
      <c r="C97" s="3" t="s">
        <v>769</v>
      </c>
      <c r="D97" s="65"/>
      <c r="E97" s="65">
        <v>11.15</v>
      </c>
      <c r="F97" s="77">
        <f>1346.59/142.878</f>
        <v>9.4247539859180556</v>
      </c>
      <c r="G97" s="70">
        <f>1710.45*100000/14287832</f>
        <v>11.971375363316142</v>
      </c>
      <c r="H97" s="53"/>
      <c r="I97" s="53"/>
      <c r="J97" s="53"/>
      <c r="K97" s="53"/>
      <c r="L97" s="53"/>
      <c r="M97" s="53"/>
      <c r="N97" s="53"/>
    </row>
    <row r="98" spans="1:14" x14ac:dyDescent="0.4">
      <c r="A98" s="2"/>
      <c r="B98" s="394"/>
      <c r="C98" s="3" t="s">
        <v>73</v>
      </c>
      <c r="D98" s="54"/>
      <c r="E98" s="54"/>
      <c r="F98" s="54"/>
      <c r="G98" s="66"/>
      <c r="H98" s="53"/>
      <c r="I98" s="53"/>
      <c r="J98" s="53"/>
      <c r="K98" s="53"/>
      <c r="L98" s="53"/>
      <c r="M98" s="53"/>
      <c r="N98" s="53"/>
    </row>
    <row r="99" spans="1:14" x14ac:dyDescent="0.4">
      <c r="A99" s="2"/>
      <c r="B99" s="411"/>
      <c r="C99" s="21" t="s">
        <v>766</v>
      </c>
      <c r="D99" s="54">
        <v>107.09</v>
      </c>
      <c r="E99" s="54">
        <v>126.83</v>
      </c>
      <c r="F99" s="54">
        <v>134.1</v>
      </c>
      <c r="G99" s="70">
        <v>62.70135798628899</v>
      </c>
      <c r="H99" s="53"/>
      <c r="I99" s="53"/>
      <c r="J99" s="53"/>
      <c r="K99" s="53"/>
      <c r="L99" s="53"/>
      <c r="M99" s="53"/>
      <c r="N99" s="53"/>
    </row>
    <row r="100" spans="1:14" ht="26.5" x14ac:dyDescent="0.4">
      <c r="A100" s="2"/>
      <c r="B100" s="411"/>
      <c r="C100" s="21" t="s">
        <v>767</v>
      </c>
      <c r="D100" s="54">
        <v>179.45</v>
      </c>
      <c r="E100" s="54">
        <v>174.1</v>
      </c>
      <c r="F100" s="54">
        <v>164.57</v>
      </c>
      <c r="G100" s="70">
        <v>275.4371947269824</v>
      </c>
      <c r="H100" s="53"/>
      <c r="I100" s="53"/>
      <c r="J100" s="53"/>
      <c r="K100" s="53"/>
      <c r="L100" s="53"/>
      <c r="M100" s="53"/>
      <c r="N100" s="53"/>
    </row>
    <row r="101" spans="1:14" x14ac:dyDescent="0.4">
      <c r="A101" s="2"/>
      <c r="B101" s="411"/>
      <c r="C101" s="21" t="s">
        <v>768</v>
      </c>
      <c r="D101" s="54">
        <v>33.380000000000003</v>
      </c>
      <c r="E101" s="54">
        <v>33.39</v>
      </c>
      <c r="F101" s="54">
        <v>27.2</v>
      </c>
      <c r="G101" s="70">
        <v>1.7818325153298602</v>
      </c>
      <c r="H101" s="53"/>
      <c r="I101" s="53"/>
      <c r="J101" s="53"/>
      <c r="K101" s="53"/>
      <c r="L101" s="53"/>
      <c r="M101" s="53"/>
      <c r="N101" s="53"/>
    </row>
    <row r="102" spans="1:14" x14ac:dyDescent="0.4">
      <c r="A102" s="2"/>
      <c r="B102" s="411"/>
      <c r="C102" s="3" t="s">
        <v>74</v>
      </c>
      <c r="D102" s="127">
        <f>SUM(D99:D101)/3</f>
        <v>106.63999999999999</v>
      </c>
      <c r="E102" s="127">
        <f t="shared" ref="E102:F102" si="3">SUM(E99:E101)/3</f>
        <v>111.44</v>
      </c>
      <c r="F102" s="127">
        <f t="shared" si="3"/>
        <v>108.62333333333332</v>
      </c>
      <c r="G102" s="130">
        <f t="shared" ref="G102" si="4">(G99+G100+G101)/3</f>
        <v>113.30679507620043</v>
      </c>
      <c r="H102" s="53"/>
      <c r="I102" s="53"/>
      <c r="J102" s="53"/>
      <c r="K102" s="53"/>
      <c r="L102" s="53"/>
      <c r="M102" s="53"/>
      <c r="N102" s="53"/>
    </row>
    <row r="103" spans="1:14" s="1" customFormat="1" x14ac:dyDescent="0.4">
      <c r="B103" s="412"/>
      <c r="C103" s="413"/>
      <c r="D103" s="413"/>
      <c r="E103" s="413"/>
      <c r="F103" s="413"/>
      <c r="G103" s="414"/>
    </row>
    <row r="104" spans="1:14" ht="12.7" customHeight="1" x14ac:dyDescent="0.4">
      <c r="A104" s="2"/>
      <c r="B104" s="415" t="s">
        <v>771</v>
      </c>
      <c r="C104" s="416"/>
      <c r="D104" s="416"/>
      <c r="E104" s="416"/>
      <c r="F104" s="416"/>
      <c r="G104" s="417"/>
      <c r="H104" s="53"/>
      <c r="I104" s="53"/>
      <c r="J104" s="53"/>
      <c r="K104" s="53"/>
      <c r="L104" s="53"/>
      <c r="M104" s="53"/>
      <c r="N104" s="53"/>
    </row>
    <row r="105" spans="1:14" ht="12.7" customHeight="1" x14ac:dyDescent="0.4">
      <c r="A105" s="2"/>
      <c r="B105" s="418" t="s">
        <v>85</v>
      </c>
      <c r="C105" s="419"/>
      <c r="D105" s="419"/>
      <c r="E105" s="419"/>
      <c r="F105" s="419"/>
      <c r="G105" s="420"/>
      <c r="H105" s="53"/>
      <c r="I105" s="53"/>
      <c r="J105" s="53"/>
      <c r="K105" s="53"/>
      <c r="L105" s="53"/>
      <c r="M105" s="53"/>
      <c r="N105" s="53"/>
    </row>
    <row r="106" spans="1:14" x14ac:dyDescent="0.4">
      <c r="A106" s="2"/>
      <c r="B106" s="363"/>
      <c r="C106" s="368"/>
      <c r="D106" s="368"/>
      <c r="E106" s="368"/>
      <c r="F106" s="368"/>
      <c r="G106" s="369"/>
      <c r="H106" s="53"/>
      <c r="I106" s="53"/>
      <c r="J106" s="53"/>
      <c r="K106" s="53"/>
      <c r="L106" s="53"/>
      <c r="M106" s="53"/>
      <c r="N106" s="53"/>
    </row>
    <row r="107" spans="1:14" x14ac:dyDescent="0.4">
      <c r="C107" s="407"/>
      <c r="D107" s="407"/>
      <c r="E107" s="407"/>
      <c r="F107" s="407"/>
      <c r="G107" s="407"/>
      <c r="H107" s="53"/>
      <c r="I107" s="53"/>
    </row>
    <row r="108" spans="1:14" x14ac:dyDescent="0.4">
      <c r="A108" s="9">
        <v>14</v>
      </c>
      <c r="B108" s="61" t="s">
        <v>78</v>
      </c>
      <c r="C108" s="356" t="s">
        <v>41</v>
      </c>
      <c r="D108" s="357"/>
      <c r="E108" s="357"/>
      <c r="F108" s="357"/>
      <c r="G108" s="408"/>
    </row>
    <row r="109" spans="1:14" x14ac:dyDescent="0.4">
      <c r="A109" s="23"/>
      <c r="C109" s="69"/>
      <c r="D109" s="69"/>
      <c r="E109" s="69"/>
      <c r="F109" s="69"/>
      <c r="G109" s="69"/>
    </row>
    <row r="110" spans="1:14" x14ac:dyDescent="0.4">
      <c r="C110" s="69"/>
      <c r="D110" s="69"/>
      <c r="E110" s="69"/>
      <c r="F110" s="69"/>
      <c r="G110" s="69"/>
    </row>
    <row r="112" spans="1:14" ht="12.7" customHeight="1" x14ac:dyDescent="0.4">
      <c r="B112" s="409" t="s">
        <v>762</v>
      </c>
      <c r="C112" s="410"/>
      <c r="D112" s="410"/>
      <c r="E112" s="410"/>
      <c r="F112" s="410"/>
      <c r="G112" s="410"/>
      <c r="H112" s="410"/>
    </row>
    <row r="116" spans="3:5" x14ac:dyDescent="0.4">
      <c r="C116" s="230"/>
      <c r="D116" s="230"/>
    </row>
    <row r="117" spans="3:5" x14ac:dyDescent="0.4">
      <c r="D117" s="237"/>
      <c r="E117" s="107"/>
    </row>
    <row r="118" spans="3:5" x14ac:dyDescent="0.4">
      <c r="C118" s="230"/>
      <c r="D118" s="107"/>
      <c r="E118" s="107"/>
    </row>
  </sheetData>
  <sheetProtection algorithmName="SHA-512" hashValue="3qwcF6iXOBtHIFxlZFQdcmkP5tVvGtASy4caGPfwVq6DhQwFFS824YQFSMLMlRjb4wSIBUvYxaK3mQjc9/QWOQ==" saltValue="KzD7MhEDiweNGaeTJFRgMQ==" spinCount="100000" sheet="1" objects="1" scenarios="1"/>
  <mergeCells count="67">
    <mergeCell ref="C108:G108"/>
    <mergeCell ref="B112:H112"/>
    <mergeCell ref="B97:B102"/>
    <mergeCell ref="B103:G103"/>
    <mergeCell ref="B104:G104"/>
    <mergeCell ref="B105:G105"/>
    <mergeCell ref="B106:G106"/>
    <mergeCell ref="C107:G107"/>
    <mergeCell ref="B91:B96"/>
    <mergeCell ref="F66:H66"/>
    <mergeCell ref="I66:K66"/>
    <mergeCell ref="L66:N66"/>
    <mergeCell ref="B70:N70"/>
    <mergeCell ref="B71:N71"/>
    <mergeCell ref="B72:N72"/>
    <mergeCell ref="B73:N73"/>
    <mergeCell ref="B74:N74"/>
    <mergeCell ref="B76:G76"/>
    <mergeCell ref="B79:B84"/>
    <mergeCell ref="B85:B90"/>
    <mergeCell ref="B58:E58"/>
    <mergeCell ref="C60:E60"/>
    <mergeCell ref="B66:B67"/>
    <mergeCell ref="C66:C67"/>
    <mergeCell ref="D66:D67"/>
    <mergeCell ref="E66:E67"/>
    <mergeCell ref="C57:E57"/>
    <mergeCell ref="B39:C39"/>
    <mergeCell ref="B42:E42"/>
    <mergeCell ref="C44:E44"/>
    <mergeCell ref="C45:E45"/>
    <mergeCell ref="B46:E46"/>
    <mergeCell ref="B48:E48"/>
    <mergeCell ref="B51:E51"/>
    <mergeCell ref="B53:E53"/>
    <mergeCell ref="B54:B55"/>
    <mergeCell ref="C54:E55"/>
    <mergeCell ref="C56:E56"/>
    <mergeCell ref="C43:E43"/>
    <mergeCell ref="B35:E35"/>
    <mergeCell ref="B15:C15"/>
    <mergeCell ref="B17:E17"/>
    <mergeCell ref="C18:E18"/>
    <mergeCell ref="C19:E19"/>
    <mergeCell ref="C20:E20"/>
    <mergeCell ref="C21:E21"/>
    <mergeCell ref="C22:E22"/>
    <mergeCell ref="B23:E23"/>
    <mergeCell ref="B26:E26"/>
    <mergeCell ref="B27:E27"/>
    <mergeCell ref="B33:E33"/>
    <mergeCell ref="B12:D12"/>
    <mergeCell ref="A1:B1"/>
    <mergeCell ref="C5:E5"/>
    <mergeCell ref="B6:D6"/>
    <mergeCell ref="B9:D9"/>
    <mergeCell ref="C11:E11"/>
    <mergeCell ref="A5:A6"/>
    <mergeCell ref="A8:A9"/>
    <mergeCell ref="A11:A12"/>
    <mergeCell ref="A48:A51"/>
    <mergeCell ref="A53:A58"/>
    <mergeCell ref="A14:A15"/>
    <mergeCell ref="A17:A23"/>
    <mergeCell ref="A26:A33"/>
    <mergeCell ref="A35:A39"/>
    <mergeCell ref="A42:A46"/>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19"/>
  <sheetViews>
    <sheetView view="pageBreakPreview" zoomScale="70" zoomScaleNormal="100" zoomScaleSheetLayoutView="70" zoomScalePageLayoutView="50" workbookViewId="0">
      <selection activeCell="I68" sqref="I68"/>
    </sheetView>
  </sheetViews>
  <sheetFormatPr defaultColWidth="8.84375" defaultRowHeight="13.25" x14ac:dyDescent="0.4"/>
  <cols>
    <col min="1" max="1" width="9.53515625" style="8" customWidth="1"/>
    <col min="2" max="2" width="21.84375" style="8" customWidth="1"/>
    <col min="3" max="4" width="15.4609375" style="8" customWidth="1"/>
    <col min="5" max="6" width="11.53515625" style="8" customWidth="1"/>
    <col min="7" max="7" width="14.53515625" style="8" customWidth="1"/>
    <col min="8" max="8" width="11.53515625" style="8" customWidth="1"/>
    <col min="9" max="9" width="52.3046875" style="8" bestFit="1" customWidth="1"/>
    <col min="10" max="14" width="9.3046875" style="8" customWidth="1"/>
    <col min="15" max="16384" width="8.84375" style="8"/>
  </cols>
  <sheetData>
    <row r="1" spans="1:8" x14ac:dyDescent="0.4">
      <c r="A1" s="355" t="s">
        <v>0</v>
      </c>
      <c r="B1" s="355"/>
      <c r="D1" s="1"/>
    </row>
    <row r="3" spans="1:8" ht="24" customHeight="1" x14ac:dyDescent="0.4">
      <c r="A3" s="2" t="s">
        <v>1</v>
      </c>
      <c r="B3" s="3" t="s">
        <v>2</v>
      </c>
      <c r="C3" s="458" t="s">
        <v>892</v>
      </c>
      <c r="D3" s="458"/>
      <c r="E3" s="458"/>
      <c r="F3" s="458"/>
      <c r="G3" s="458"/>
      <c r="H3" s="458"/>
    </row>
    <row r="4" spans="1:8" x14ac:dyDescent="0.4">
      <c r="D4" s="5"/>
    </row>
    <row r="5" spans="1:8" ht="12.7" customHeight="1" x14ac:dyDescent="0.4">
      <c r="A5" s="6">
        <v>1</v>
      </c>
      <c r="B5" s="7" t="s">
        <v>3</v>
      </c>
      <c r="C5" s="458" t="s">
        <v>702</v>
      </c>
      <c r="D5" s="458"/>
      <c r="E5" s="458"/>
      <c r="F5" s="458"/>
      <c r="G5" s="458"/>
    </row>
    <row r="6" spans="1:8" x14ac:dyDescent="0.4">
      <c r="A6" s="9"/>
      <c r="B6" s="359" t="s">
        <v>5</v>
      </c>
      <c r="C6" s="474"/>
      <c r="D6" s="474"/>
      <c r="E6" s="10"/>
    </row>
    <row r="7" spans="1:8" x14ac:dyDescent="0.4">
      <c r="A7" s="9"/>
      <c r="B7" s="11"/>
      <c r="D7" s="5"/>
    </row>
    <row r="8" spans="1:8" x14ac:dyDescent="0.4">
      <c r="A8" s="9">
        <v>2</v>
      </c>
      <c r="B8" s="7" t="s">
        <v>6</v>
      </c>
      <c r="C8" s="12" t="s">
        <v>893</v>
      </c>
      <c r="D8" s="5"/>
    </row>
    <row r="9" spans="1:8" x14ac:dyDescent="0.4">
      <c r="A9" s="9"/>
      <c r="B9" s="360" t="s">
        <v>5</v>
      </c>
      <c r="C9" s="361"/>
      <c r="D9" s="362"/>
    </row>
    <row r="10" spans="1:8" x14ac:dyDescent="0.4">
      <c r="A10" s="9"/>
      <c r="B10" s="11"/>
      <c r="D10" s="5"/>
    </row>
    <row r="11" spans="1:8" ht="39.75" customHeight="1" x14ac:dyDescent="0.4">
      <c r="A11" s="9">
        <v>3</v>
      </c>
      <c r="B11" s="7" t="s">
        <v>7</v>
      </c>
      <c r="C11" s="497" t="s">
        <v>1107</v>
      </c>
      <c r="D11" s="497"/>
      <c r="E11" s="497"/>
      <c r="F11" s="497"/>
      <c r="G11" s="497"/>
      <c r="H11" s="497"/>
    </row>
    <row r="12" spans="1:8" x14ac:dyDescent="0.4">
      <c r="A12" s="9"/>
      <c r="B12" s="359" t="s">
        <v>5</v>
      </c>
      <c r="C12" s="474"/>
      <c r="D12" s="474"/>
      <c r="E12" s="10"/>
    </row>
    <row r="13" spans="1:8" x14ac:dyDescent="0.4">
      <c r="A13" s="9"/>
      <c r="B13" s="11"/>
      <c r="D13" s="5"/>
    </row>
    <row r="14" spans="1:8" ht="25.65" x14ac:dyDescent="0.4">
      <c r="A14" s="9">
        <v>4</v>
      </c>
      <c r="B14" s="3" t="s">
        <v>9</v>
      </c>
      <c r="C14" s="4" t="s">
        <v>894</v>
      </c>
      <c r="D14" s="5"/>
    </row>
    <row r="15" spans="1:8" x14ac:dyDescent="0.4">
      <c r="A15" s="9"/>
      <c r="B15" s="363" t="s">
        <v>10</v>
      </c>
      <c r="C15" s="364"/>
      <c r="D15" s="5"/>
    </row>
    <row r="16" spans="1:8" x14ac:dyDescent="0.4">
      <c r="A16" s="9"/>
      <c r="D16" s="5"/>
    </row>
    <row r="17" spans="1:14" ht="15.8" customHeight="1" x14ac:dyDescent="0.4">
      <c r="A17" s="9">
        <v>5</v>
      </c>
      <c r="B17" s="365" t="s">
        <v>1082</v>
      </c>
      <c r="C17" s="365"/>
      <c r="D17" s="365"/>
      <c r="E17" s="365"/>
      <c r="F17" s="365"/>
      <c r="G17" s="365"/>
      <c r="H17" s="365"/>
      <c r="I17" s="11"/>
      <c r="J17" s="13"/>
      <c r="K17" s="13"/>
      <c r="L17" s="13"/>
      <c r="M17" s="13"/>
      <c r="N17" s="13"/>
    </row>
    <row r="18" spans="1:14" ht="15.05" customHeight="1" x14ac:dyDescent="0.4">
      <c r="A18" s="9"/>
      <c r="B18" s="365" t="s">
        <v>12</v>
      </c>
      <c r="C18" s="365"/>
      <c r="D18" s="365"/>
      <c r="E18" s="365"/>
      <c r="F18" s="498" t="s">
        <v>560</v>
      </c>
      <c r="G18" s="498"/>
      <c r="H18" s="498"/>
      <c r="I18" s="13"/>
      <c r="J18" s="13"/>
      <c r="K18" s="13"/>
      <c r="L18" s="13"/>
      <c r="M18" s="13"/>
      <c r="N18" s="13"/>
    </row>
    <row r="19" spans="1:14" ht="29.3" customHeight="1" x14ac:dyDescent="0.4">
      <c r="A19" s="9"/>
      <c r="B19" s="365" t="s">
        <v>1123</v>
      </c>
      <c r="C19" s="499"/>
      <c r="D19" s="499"/>
      <c r="E19" s="499"/>
      <c r="F19" s="498" t="s">
        <v>560</v>
      </c>
      <c r="G19" s="498"/>
      <c r="H19" s="498"/>
      <c r="I19" s="13"/>
      <c r="J19" s="13"/>
      <c r="K19" s="13"/>
      <c r="L19" s="13"/>
      <c r="M19" s="13"/>
      <c r="N19" s="13"/>
    </row>
    <row r="20" spans="1:14" ht="14.6" x14ac:dyDescent="0.4">
      <c r="A20" s="9"/>
      <c r="B20" s="365" t="s">
        <v>605</v>
      </c>
      <c r="C20" s="499"/>
      <c r="D20" s="499"/>
      <c r="E20" s="499"/>
      <c r="F20" s="498" t="s">
        <v>560</v>
      </c>
      <c r="G20" s="498"/>
      <c r="H20" s="498"/>
      <c r="I20" s="13"/>
      <c r="J20" s="13"/>
      <c r="K20" s="13"/>
      <c r="L20" s="13"/>
      <c r="M20" s="13"/>
      <c r="N20" s="13"/>
    </row>
    <row r="21" spans="1:14" ht="14.6" x14ac:dyDescent="0.4">
      <c r="A21" s="9"/>
      <c r="B21" s="365" t="s">
        <v>15</v>
      </c>
      <c r="C21" s="499"/>
      <c r="D21" s="499"/>
      <c r="E21" s="499"/>
      <c r="F21" s="498" t="s">
        <v>560</v>
      </c>
      <c r="G21" s="498"/>
      <c r="H21" s="498"/>
      <c r="I21" s="13"/>
      <c r="J21" s="13"/>
      <c r="K21" s="13"/>
      <c r="L21" s="13"/>
      <c r="M21" s="13"/>
      <c r="N21" s="13"/>
    </row>
    <row r="22" spans="1:14" ht="14.6" x14ac:dyDescent="0.4">
      <c r="A22" s="9"/>
      <c r="B22" s="365" t="s">
        <v>16</v>
      </c>
      <c r="C22" s="499"/>
      <c r="D22" s="499"/>
      <c r="E22" s="499"/>
      <c r="F22" s="498">
        <v>6.1999999999999998E-3</v>
      </c>
      <c r="G22" s="446"/>
      <c r="H22" s="446"/>
      <c r="I22" s="13"/>
      <c r="J22" s="13"/>
      <c r="K22" s="13"/>
      <c r="L22" s="13"/>
      <c r="M22" s="13"/>
      <c r="N22" s="13"/>
    </row>
    <row r="23" spans="1:14" x14ac:dyDescent="0.4">
      <c r="A23" s="9"/>
      <c r="B23" s="495" t="s">
        <v>709</v>
      </c>
      <c r="C23" s="496"/>
      <c r="D23" s="496"/>
      <c r="E23" s="496"/>
      <c r="F23" s="496"/>
      <c r="G23" s="496"/>
      <c r="H23" s="496"/>
      <c r="I23" s="13"/>
      <c r="J23" s="13"/>
      <c r="K23" s="13"/>
      <c r="L23" s="13"/>
      <c r="M23" s="13"/>
      <c r="N23" s="13"/>
    </row>
    <row r="24" spans="1:14" ht="15.05" customHeight="1"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1122</v>
      </c>
      <c r="C26" s="365"/>
      <c r="D26" s="365"/>
      <c r="E26" s="365"/>
      <c r="F26" s="365"/>
      <c r="G26" s="365"/>
      <c r="H26" s="365"/>
      <c r="I26" s="11"/>
      <c r="J26" s="11"/>
    </row>
    <row r="27" spans="1:14" ht="15.05" customHeight="1" x14ac:dyDescent="0.4">
      <c r="A27" s="9"/>
      <c r="B27" s="370" t="s">
        <v>19</v>
      </c>
      <c r="C27" s="371"/>
      <c r="D27" s="371"/>
      <c r="E27" s="371"/>
      <c r="F27" s="371"/>
    </row>
    <row r="28" spans="1:14" x14ac:dyDescent="0.4">
      <c r="A28" s="9"/>
      <c r="B28" s="504" t="s">
        <v>20</v>
      </c>
      <c r="C28" s="505"/>
      <c r="D28" s="18" t="s">
        <v>262</v>
      </c>
      <c r="E28" s="18" t="s">
        <v>263</v>
      </c>
      <c r="F28" s="18" t="s">
        <v>23</v>
      </c>
    </row>
    <row r="29" spans="1:14" ht="12.7" customHeight="1" x14ac:dyDescent="0.4">
      <c r="A29" s="9"/>
      <c r="B29" s="393" t="s">
        <v>24</v>
      </c>
      <c r="C29" s="393"/>
      <c r="D29" s="20">
        <v>3328.22</v>
      </c>
      <c r="E29" s="4">
        <v>6161.71</v>
      </c>
      <c r="F29" s="21">
        <v>20152.96</v>
      </c>
    </row>
    <row r="30" spans="1:14" ht="15.05" customHeight="1" x14ac:dyDescent="0.4">
      <c r="A30" s="9"/>
      <c r="B30" s="393" t="s">
        <v>25</v>
      </c>
      <c r="C30" s="393"/>
      <c r="D30" s="20">
        <v>683.21</v>
      </c>
      <c r="E30" s="172">
        <v>2086.7800000000002</v>
      </c>
      <c r="F30" s="120">
        <v>4704.6000000000004</v>
      </c>
    </row>
    <row r="31" spans="1:14" x14ac:dyDescent="0.4">
      <c r="A31" s="9"/>
      <c r="B31" s="393" t="s">
        <v>26</v>
      </c>
      <c r="C31" s="393"/>
      <c r="D31" s="20">
        <v>1023.6</v>
      </c>
      <c r="E31" s="172">
        <v>1023.6</v>
      </c>
      <c r="F31" s="120">
        <v>1080.0999999999999</v>
      </c>
    </row>
    <row r="32" spans="1:14" x14ac:dyDescent="0.4">
      <c r="A32" s="9"/>
      <c r="B32" s="393" t="s">
        <v>27</v>
      </c>
      <c r="C32" s="393"/>
      <c r="D32" s="20">
        <v>1677.09</v>
      </c>
      <c r="E32" s="172">
        <v>3712.57</v>
      </c>
      <c r="F32" s="120">
        <v>12320.1</v>
      </c>
    </row>
    <row r="33" spans="1:10" ht="12.7" customHeight="1" x14ac:dyDescent="0.4">
      <c r="A33" s="9"/>
      <c r="B33" s="480" t="s">
        <v>709</v>
      </c>
      <c r="C33" s="480"/>
      <c r="D33" s="480"/>
      <c r="E33" s="480"/>
      <c r="F33" s="480"/>
    </row>
    <row r="34" spans="1:10" ht="15.05" customHeight="1" x14ac:dyDescent="0.4">
      <c r="A34" s="9"/>
      <c r="B34" s="13"/>
      <c r="C34" s="15"/>
      <c r="D34" s="15"/>
      <c r="E34" s="15"/>
      <c r="F34" s="15"/>
    </row>
    <row r="35" spans="1:10" ht="28.5" customHeight="1" x14ac:dyDescent="0.4">
      <c r="A35" s="9">
        <v>7</v>
      </c>
      <c r="B35" s="398" t="s">
        <v>28</v>
      </c>
      <c r="C35" s="398"/>
      <c r="D35" s="398"/>
      <c r="E35" s="398"/>
      <c r="F35" s="398"/>
      <c r="G35" s="398"/>
      <c r="H35" s="398"/>
      <c r="I35" s="11"/>
      <c r="J35" s="11"/>
    </row>
    <row r="36" spans="1:10" ht="15.05" customHeight="1" x14ac:dyDescent="0.4">
      <c r="A36" s="9"/>
      <c r="B36" s="258" t="s">
        <v>29</v>
      </c>
      <c r="C36" s="162" t="s">
        <v>881</v>
      </c>
      <c r="D36" s="13"/>
      <c r="E36" s="13"/>
      <c r="F36" s="13"/>
    </row>
    <row r="37" spans="1:10" x14ac:dyDescent="0.4">
      <c r="A37" s="9"/>
      <c r="B37" s="17" t="s">
        <v>31</v>
      </c>
      <c r="C37" s="20" t="s">
        <v>30</v>
      </c>
      <c r="D37" s="13"/>
      <c r="E37" s="13"/>
      <c r="F37" s="13"/>
    </row>
    <row r="38" spans="1:10" x14ac:dyDescent="0.4">
      <c r="A38" s="9"/>
      <c r="B38" s="22" t="s">
        <v>32</v>
      </c>
      <c r="C38" s="155" t="s">
        <v>30</v>
      </c>
      <c r="D38" s="13"/>
      <c r="E38" s="13"/>
      <c r="F38" s="13"/>
    </row>
    <row r="39" spans="1:10" x14ac:dyDescent="0.4">
      <c r="A39" s="9"/>
      <c r="B39" s="359" t="s">
        <v>559</v>
      </c>
      <c r="C39" s="359"/>
      <c r="D39" s="13"/>
      <c r="E39" s="13"/>
      <c r="F39" s="13"/>
    </row>
    <row r="40" spans="1:10" ht="15.05" customHeight="1" x14ac:dyDescent="0.4">
      <c r="A40" s="9"/>
      <c r="C40" s="13"/>
      <c r="D40" s="13"/>
      <c r="E40" s="13"/>
      <c r="F40" s="13"/>
    </row>
    <row r="41" spans="1:10" x14ac:dyDescent="0.4">
      <c r="A41" s="9"/>
      <c r="B41" s="15"/>
      <c r="C41" s="13"/>
      <c r="D41" s="13"/>
      <c r="E41" s="13"/>
      <c r="F41" s="13"/>
    </row>
    <row r="42" spans="1:10" ht="28.5" customHeight="1" x14ac:dyDescent="0.4">
      <c r="A42" s="9">
        <v>8</v>
      </c>
      <c r="B42" s="365" t="s">
        <v>33</v>
      </c>
      <c r="C42" s="365"/>
      <c r="D42" s="365"/>
      <c r="E42" s="365"/>
      <c r="F42" s="365"/>
      <c r="G42" s="365"/>
      <c r="H42" s="365"/>
      <c r="I42" s="11"/>
      <c r="J42" s="11"/>
    </row>
    <row r="43" spans="1:10" ht="15.05" customHeight="1" x14ac:dyDescent="0.4">
      <c r="A43" s="9"/>
      <c r="B43" s="17" t="s">
        <v>34</v>
      </c>
      <c r="C43" s="446" t="s">
        <v>13</v>
      </c>
      <c r="D43" s="446"/>
      <c r="E43" s="446"/>
      <c r="F43" s="446"/>
      <c r="G43" s="446"/>
      <c r="H43" s="446"/>
    </row>
    <row r="44" spans="1:10" ht="14.25" customHeight="1" x14ac:dyDescent="0.45">
      <c r="A44" s="9"/>
      <c r="B44" s="17" t="s">
        <v>31</v>
      </c>
      <c r="C44" s="446" t="s">
        <v>895</v>
      </c>
      <c r="D44" s="446"/>
      <c r="E44" s="446"/>
      <c r="F44" s="446"/>
      <c r="G44" s="446"/>
      <c r="H44" s="446"/>
      <c r="I44" s="280"/>
    </row>
    <row r="45" spans="1:10" ht="15.05" customHeight="1" x14ac:dyDescent="0.4">
      <c r="A45" s="9"/>
      <c r="B45" s="17" t="s">
        <v>32</v>
      </c>
      <c r="C45" s="446" t="s">
        <v>201</v>
      </c>
      <c r="D45" s="446"/>
      <c r="E45" s="446"/>
      <c r="F45" s="446"/>
      <c r="G45" s="446"/>
      <c r="H45" s="446"/>
    </row>
    <row r="46" spans="1:10" ht="12.7" customHeight="1" x14ac:dyDescent="0.4">
      <c r="A46" s="9"/>
      <c r="B46" s="363" t="s">
        <v>35</v>
      </c>
      <c r="C46" s="368"/>
      <c r="D46" s="368"/>
      <c r="E46" s="368"/>
      <c r="F46" s="368"/>
      <c r="G46" s="368"/>
      <c r="H46" s="369"/>
    </row>
    <row r="47" spans="1:10" ht="15.05" customHeight="1" x14ac:dyDescent="0.4">
      <c r="A47" s="2"/>
      <c r="D47" s="23"/>
      <c r="E47" s="13"/>
    </row>
    <row r="48" spans="1:10" ht="28.5" customHeight="1" x14ac:dyDescent="0.4">
      <c r="A48" s="24">
        <v>9</v>
      </c>
      <c r="B48" s="376" t="s">
        <v>36</v>
      </c>
      <c r="C48" s="365"/>
      <c r="D48" s="365"/>
      <c r="E48" s="365"/>
      <c r="F48" s="25"/>
      <c r="G48" s="11"/>
      <c r="H48" s="11"/>
      <c r="I48" s="11"/>
    </row>
    <row r="49" spans="1:14" ht="29.3" customHeight="1" x14ac:dyDescent="0.4">
      <c r="A49" s="24"/>
      <c r="B49" s="26" t="s">
        <v>37</v>
      </c>
      <c r="C49" s="27" t="s">
        <v>38</v>
      </c>
      <c r="D49" s="28" t="s">
        <v>39</v>
      </c>
      <c r="E49" s="27" t="s">
        <v>206</v>
      </c>
    </row>
    <row r="50" spans="1:14" ht="201" customHeight="1" x14ac:dyDescent="0.4">
      <c r="A50" s="29"/>
      <c r="B50" s="78" t="s">
        <v>307</v>
      </c>
      <c r="C50" s="290" t="s">
        <v>896</v>
      </c>
      <c r="D50" s="160" t="s">
        <v>1216</v>
      </c>
      <c r="E50" s="160" t="s">
        <v>83</v>
      </c>
    </row>
    <row r="51" spans="1:14" ht="15.05" customHeight="1" x14ac:dyDescent="0.4">
      <c r="A51" s="32"/>
      <c r="B51" s="10"/>
      <c r="C51" s="23"/>
      <c r="D51" s="23"/>
      <c r="E51" s="23"/>
      <c r="F51" s="15"/>
      <c r="G51" s="15"/>
      <c r="H51" s="15"/>
      <c r="I51" s="15"/>
    </row>
    <row r="52" spans="1:14" ht="25.55" customHeight="1" x14ac:dyDescent="0.4">
      <c r="A52" s="24">
        <v>10</v>
      </c>
      <c r="B52" s="398" t="s">
        <v>36</v>
      </c>
      <c r="C52" s="398"/>
      <c r="D52" s="398"/>
      <c r="E52" s="398"/>
      <c r="F52" s="398"/>
      <c r="G52" s="398"/>
      <c r="H52" s="398"/>
    </row>
    <row r="53" spans="1:14" ht="15.05" customHeight="1" x14ac:dyDescent="0.4">
      <c r="A53" s="29"/>
      <c r="B53" s="506" t="s">
        <v>43</v>
      </c>
      <c r="C53" s="500" t="s">
        <v>1278</v>
      </c>
      <c r="D53" s="500"/>
      <c r="E53" s="500"/>
      <c r="F53" s="500"/>
      <c r="G53" s="500"/>
      <c r="H53" s="500"/>
      <c r="K53" s="1"/>
    </row>
    <row r="54" spans="1:14" ht="31.5" customHeight="1" x14ac:dyDescent="0.4">
      <c r="A54" s="29"/>
      <c r="B54" s="506"/>
      <c r="C54" s="500"/>
      <c r="D54" s="500"/>
      <c r="E54" s="500"/>
      <c r="F54" s="500"/>
      <c r="G54" s="500"/>
      <c r="H54" s="500"/>
      <c r="K54" s="1"/>
    </row>
    <row r="55" spans="1:14" ht="51.05" customHeight="1" x14ac:dyDescent="0.4">
      <c r="A55" s="24"/>
      <c r="B55" s="4" t="s">
        <v>44</v>
      </c>
      <c r="C55" s="391" t="s">
        <v>1279</v>
      </c>
      <c r="D55" s="391"/>
      <c r="E55" s="391"/>
      <c r="F55" s="391"/>
      <c r="G55" s="391"/>
      <c r="H55" s="391"/>
    </row>
    <row r="56" spans="1:14" ht="26.5" x14ac:dyDescent="0.4">
      <c r="A56" s="29"/>
      <c r="B56" s="4" t="s">
        <v>45</v>
      </c>
      <c r="C56" s="391" t="s">
        <v>1067</v>
      </c>
      <c r="D56" s="391"/>
      <c r="E56" s="391"/>
      <c r="F56" s="391"/>
      <c r="G56" s="391"/>
      <c r="H56" s="391"/>
      <c r="K56" s="34"/>
    </row>
    <row r="57" spans="1:14" s="201" customFormat="1" ht="15.05" customHeight="1" x14ac:dyDescent="0.35">
      <c r="A57" s="35" t="s">
        <v>47</v>
      </c>
      <c r="B57" s="503" t="s">
        <v>48</v>
      </c>
      <c r="C57" s="503"/>
      <c r="D57" s="503"/>
      <c r="E57" s="503"/>
      <c r="F57" s="503"/>
      <c r="G57" s="503"/>
      <c r="H57" s="503"/>
    </row>
    <row r="58" spans="1:14" x14ac:dyDescent="0.4">
      <c r="A58" s="40"/>
      <c r="B58" s="321"/>
      <c r="C58" s="53"/>
      <c r="D58" s="53"/>
      <c r="E58" s="53"/>
      <c r="F58" s="53"/>
    </row>
    <row r="59" spans="1:14" ht="25.65" x14ac:dyDescent="0.4">
      <c r="A59" s="9">
        <v>11</v>
      </c>
      <c r="B59" s="3" t="s">
        <v>49</v>
      </c>
      <c r="C59" s="393" t="s">
        <v>1037</v>
      </c>
      <c r="D59" s="393"/>
      <c r="E59" s="393"/>
      <c r="F59" s="11"/>
      <c r="G59" s="11"/>
      <c r="H59" s="43"/>
      <c r="I59" s="11"/>
      <c r="J59" s="11"/>
    </row>
    <row r="60" spans="1:14" ht="15.05" customHeight="1" x14ac:dyDescent="0.4">
      <c r="A60" s="9"/>
      <c r="B60" s="15"/>
      <c r="C60" s="15"/>
      <c r="D60" s="15"/>
      <c r="E60" s="15"/>
      <c r="F60" s="15"/>
      <c r="G60" s="15"/>
      <c r="H60" s="44"/>
      <c r="I60" s="44"/>
      <c r="J60" s="15"/>
    </row>
    <row r="61" spans="1:14" x14ac:dyDescent="0.4">
      <c r="A61" s="9">
        <v>12</v>
      </c>
      <c r="B61" s="11" t="s">
        <v>51</v>
      </c>
      <c r="C61" s="11"/>
      <c r="D61" s="11"/>
      <c r="E61" s="43"/>
      <c r="F61" s="43"/>
      <c r="G61" s="11"/>
      <c r="H61" s="11"/>
      <c r="I61" s="11"/>
      <c r="J61" s="11"/>
      <c r="K61" s="11"/>
      <c r="L61" s="11"/>
      <c r="M61" s="11"/>
      <c r="N61" s="11"/>
    </row>
    <row r="62" spans="1:14" x14ac:dyDescent="0.4">
      <c r="A62" s="9"/>
      <c r="B62" s="11"/>
      <c r="C62" s="11"/>
      <c r="D62" s="11"/>
      <c r="E62" s="43"/>
      <c r="F62" s="43"/>
      <c r="G62" s="43"/>
      <c r="H62" s="11"/>
      <c r="I62" s="11"/>
      <c r="J62" s="11"/>
      <c r="K62" s="11"/>
      <c r="L62" s="11"/>
      <c r="M62" s="11"/>
      <c r="N62" s="11"/>
    </row>
    <row r="63" spans="1:14" x14ac:dyDescent="0.4">
      <c r="A63" s="9"/>
      <c r="B63" s="17" t="s">
        <v>52</v>
      </c>
      <c r="C63" s="19" t="s">
        <v>897</v>
      </c>
      <c r="D63" s="15"/>
      <c r="E63" s="15"/>
      <c r="F63" s="44"/>
      <c r="G63" s="44"/>
      <c r="H63" s="15"/>
      <c r="I63" s="15"/>
      <c r="J63" s="15"/>
      <c r="K63" s="15"/>
      <c r="L63" s="15"/>
      <c r="M63" s="15"/>
      <c r="N63" s="15"/>
    </row>
    <row r="64" spans="1:14" x14ac:dyDescent="0.4">
      <c r="A64" s="9"/>
      <c r="B64" s="15"/>
      <c r="C64" s="15"/>
      <c r="D64" s="15"/>
      <c r="E64" s="15"/>
      <c r="F64" s="15"/>
      <c r="G64" s="15"/>
      <c r="H64" s="15"/>
      <c r="I64" s="15"/>
      <c r="J64" s="15"/>
      <c r="K64" s="15"/>
      <c r="L64" s="15"/>
      <c r="M64" s="15"/>
      <c r="N64" s="15"/>
    </row>
    <row r="65" spans="1:14" ht="27.05" customHeight="1" x14ac:dyDescent="0.4">
      <c r="A65" s="9"/>
      <c r="B65" s="365" t="s">
        <v>53</v>
      </c>
      <c r="C65" s="366" t="s">
        <v>898</v>
      </c>
      <c r="D65" s="366" t="s">
        <v>271</v>
      </c>
      <c r="E65" s="403" t="s">
        <v>232</v>
      </c>
      <c r="F65" s="395" t="s">
        <v>626</v>
      </c>
      <c r="G65" s="396"/>
      <c r="H65" s="397"/>
      <c r="I65" s="398" t="s">
        <v>55</v>
      </c>
      <c r="J65" s="398"/>
      <c r="K65" s="398"/>
      <c r="L65" s="398" t="s">
        <v>56</v>
      </c>
      <c r="M65" s="398"/>
      <c r="N65" s="398"/>
    </row>
    <row r="66" spans="1:14" ht="48.05" customHeight="1" x14ac:dyDescent="0.4">
      <c r="A66" s="2"/>
      <c r="B66" s="365"/>
      <c r="C66" s="402"/>
      <c r="D66" s="402"/>
      <c r="E66" s="404"/>
      <c r="F66" s="17" t="s">
        <v>57</v>
      </c>
      <c r="G66" s="17" t="s">
        <v>58</v>
      </c>
      <c r="H66" s="17" t="s">
        <v>59</v>
      </c>
      <c r="I66" s="17" t="s">
        <v>60</v>
      </c>
      <c r="J66" s="17" t="s">
        <v>58</v>
      </c>
      <c r="K66" s="17" t="s">
        <v>59</v>
      </c>
      <c r="L66" s="17" t="s">
        <v>60</v>
      </c>
      <c r="M66" s="17" t="s">
        <v>58</v>
      </c>
      <c r="N66" s="17" t="s">
        <v>59</v>
      </c>
    </row>
    <row r="67" spans="1:14" x14ac:dyDescent="0.4">
      <c r="A67" s="2"/>
      <c r="B67" s="17" t="s">
        <v>61</v>
      </c>
      <c r="C67" s="284">
        <v>38.25</v>
      </c>
      <c r="D67" s="101">
        <v>315.95</v>
      </c>
      <c r="E67" s="101">
        <v>37.200000000000003</v>
      </c>
      <c r="F67" s="101">
        <v>37</v>
      </c>
      <c r="G67" s="101">
        <v>38.9</v>
      </c>
      <c r="H67" s="101">
        <v>36.299999999999997</v>
      </c>
      <c r="I67" s="101">
        <v>172.95</v>
      </c>
      <c r="J67" s="101">
        <v>172.95</v>
      </c>
      <c r="K67" s="101">
        <v>37</v>
      </c>
      <c r="L67" s="101">
        <v>901.45</v>
      </c>
      <c r="M67" s="101">
        <v>1450</v>
      </c>
      <c r="N67" s="101">
        <v>156.15</v>
      </c>
    </row>
    <row r="68" spans="1:14" ht="38.450000000000003" x14ac:dyDescent="0.4">
      <c r="A68" s="2"/>
      <c r="B68" s="17" t="s">
        <v>216</v>
      </c>
      <c r="C68" s="284">
        <v>49771.29</v>
      </c>
      <c r="D68" s="284">
        <v>47705.8</v>
      </c>
      <c r="E68" s="101">
        <v>52574.46</v>
      </c>
      <c r="F68" s="101">
        <v>49509.15</v>
      </c>
      <c r="G68" s="101">
        <v>52516.76</v>
      </c>
      <c r="H68" s="101">
        <v>27500.79</v>
      </c>
      <c r="I68" s="101">
        <v>58568.51</v>
      </c>
      <c r="J68" s="101">
        <v>62245.43</v>
      </c>
      <c r="K68" s="101">
        <v>47204.5</v>
      </c>
      <c r="L68" s="101">
        <v>58991.519999999997</v>
      </c>
      <c r="M68" s="101">
        <v>63583.07</v>
      </c>
      <c r="N68" s="101">
        <v>50921.22</v>
      </c>
    </row>
    <row r="69" spans="1:14" x14ac:dyDescent="0.4">
      <c r="A69" s="2"/>
      <c r="B69" s="401" t="s">
        <v>17</v>
      </c>
      <c r="C69" s="459"/>
      <c r="D69" s="459"/>
      <c r="E69" s="401"/>
      <c r="F69" s="401"/>
      <c r="G69" s="401"/>
      <c r="H69" s="401"/>
      <c r="I69" s="401"/>
      <c r="J69" s="401"/>
      <c r="K69" s="401"/>
      <c r="L69" s="401"/>
      <c r="M69" s="401"/>
      <c r="N69" s="401"/>
    </row>
    <row r="70" spans="1:14" x14ac:dyDescent="0.4">
      <c r="A70" s="2"/>
      <c r="B70" s="359" t="s">
        <v>63</v>
      </c>
      <c r="C70" s="359"/>
      <c r="D70" s="359"/>
      <c r="E70" s="359"/>
      <c r="F70" s="359"/>
      <c r="G70" s="359"/>
      <c r="H70" s="359"/>
      <c r="I70" s="359"/>
      <c r="J70" s="359"/>
      <c r="K70" s="359"/>
      <c r="L70" s="359"/>
      <c r="M70" s="359"/>
      <c r="N70" s="359"/>
    </row>
    <row r="71" spans="1:14" s="1" customFormat="1" ht="15.05" customHeight="1" x14ac:dyDescent="0.4">
      <c r="B71" s="359" t="s">
        <v>64</v>
      </c>
      <c r="C71" s="359"/>
      <c r="D71" s="359"/>
      <c r="E71" s="359"/>
      <c r="F71" s="359"/>
      <c r="G71" s="359"/>
      <c r="H71" s="359"/>
      <c r="I71" s="359"/>
      <c r="J71" s="359"/>
      <c r="K71" s="359"/>
      <c r="L71" s="359"/>
      <c r="M71" s="359"/>
      <c r="N71" s="359"/>
    </row>
    <row r="72" spans="1:14" ht="15.05" customHeight="1" x14ac:dyDescent="0.4">
      <c r="A72" s="2"/>
      <c r="B72" s="359" t="s">
        <v>358</v>
      </c>
      <c r="C72" s="359"/>
      <c r="D72" s="359"/>
      <c r="E72" s="359"/>
      <c r="F72" s="359"/>
      <c r="G72" s="359"/>
      <c r="H72" s="359"/>
      <c r="I72" s="359"/>
      <c r="J72" s="359"/>
      <c r="K72" s="359"/>
      <c r="L72" s="359"/>
      <c r="M72" s="359"/>
      <c r="N72" s="359"/>
    </row>
    <row r="73" spans="1:14" ht="15.05" customHeight="1" x14ac:dyDescent="0.4">
      <c r="A73" s="2"/>
      <c r="B73" s="359" t="s">
        <v>65</v>
      </c>
      <c r="C73" s="359"/>
      <c r="D73" s="359"/>
      <c r="E73" s="359"/>
      <c r="F73" s="359"/>
      <c r="G73" s="359"/>
      <c r="H73" s="359"/>
      <c r="I73" s="359"/>
      <c r="J73" s="359"/>
      <c r="K73" s="359"/>
      <c r="L73" s="359"/>
      <c r="M73" s="359"/>
      <c r="N73" s="359"/>
    </row>
    <row r="74" spans="1:14" ht="15.05" customHeight="1" x14ac:dyDescent="0.4">
      <c r="A74" s="2"/>
      <c r="B74" s="49"/>
      <c r="C74" s="49"/>
      <c r="D74" s="49"/>
      <c r="E74" s="49"/>
      <c r="F74" s="49"/>
      <c r="G74" s="13"/>
      <c r="H74" s="13"/>
      <c r="I74" s="13"/>
      <c r="J74" s="13"/>
      <c r="K74" s="13"/>
      <c r="L74" s="13"/>
      <c r="M74" s="13"/>
      <c r="N74" s="13"/>
    </row>
    <row r="75" spans="1:14" ht="29.3" customHeight="1" x14ac:dyDescent="0.4">
      <c r="A75" s="9">
        <v>13</v>
      </c>
      <c r="B75" s="405" t="s">
        <v>66</v>
      </c>
      <c r="C75" s="406"/>
      <c r="D75" s="406"/>
      <c r="E75" s="406"/>
      <c r="F75" s="406"/>
      <c r="G75" s="376"/>
      <c r="H75" s="11"/>
      <c r="I75" s="11"/>
      <c r="J75" s="11"/>
      <c r="K75" s="11"/>
      <c r="L75" s="11"/>
      <c r="M75" s="11"/>
      <c r="N75" s="11"/>
    </row>
    <row r="76" spans="1:14" ht="15.05" customHeight="1" x14ac:dyDescent="0.4">
      <c r="A76" s="9"/>
      <c r="C76" s="15"/>
      <c r="D76" s="15"/>
      <c r="E76" s="15"/>
      <c r="F76" s="15"/>
      <c r="G76" s="15"/>
      <c r="H76" s="15"/>
      <c r="I76" s="15"/>
      <c r="J76" s="15"/>
      <c r="K76" s="15"/>
      <c r="L76" s="15"/>
      <c r="M76" s="15"/>
      <c r="N76" s="15"/>
    </row>
    <row r="77" spans="1:14" ht="25.65" x14ac:dyDescent="0.4">
      <c r="A77" s="2"/>
      <c r="B77" s="50" t="s">
        <v>67</v>
      </c>
      <c r="C77" s="18" t="s">
        <v>68</v>
      </c>
      <c r="D77" s="18" t="s">
        <v>1127</v>
      </c>
      <c r="E77" s="18" t="s">
        <v>218</v>
      </c>
      <c r="F77" s="18" t="s">
        <v>71</v>
      </c>
      <c r="G77" s="18" t="s">
        <v>107</v>
      </c>
      <c r="H77" s="13"/>
      <c r="I77" s="13"/>
      <c r="J77" s="13"/>
      <c r="K77" s="13"/>
      <c r="L77" s="13"/>
      <c r="M77" s="13"/>
      <c r="N77" s="13"/>
    </row>
    <row r="78" spans="1:14" s="310" customFormat="1" ht="12.7" customHeight="1" x14ac:dyDescent="0.4">
      <c r="A78" s="309"/>
      <c r="B78" s="501" t="s">
        <v>72</v>
      </c>
      <c r="C78" s="79" t="s">
        <v>899</v>
      </c>
      <c r="D78" s="290">
        <v>5.32</v>
      </c>
      <c r="E78" s="290">
        <v>9.0399999999999991</v>
      </c>
      <c r="F78" s="52">
        <v>19.89</v>
      </c>
      <c r="G78" s="52">
        <v>45.26</v>
      </c>
      <c r="H78" s="209"/>
      <c r="I78" s="209"/>
      <c r="J78" s="209"/>
      <c r="K78" s="209"/>
      <c r="L78" s="209"/>
      <c r="M78" s="209"/>
      <c r="N78" s="209"/>
    </row>
    <row r="79" spans="1:14" s="310" customFormat="1" ht="12.05" customHeight="1" x14ac:dyDescent="0.4">
      <c r="A79" s="309"/>
      <c r="B79" s="501"/>
      <c r="C79" s="79" t="s">
        <v>765</v>
      </c>
      <c r="D79" s="151"/>
      <c r="E79" s="151"/>
      <c r="F79" s="52"/>
      <c r="G79" s="52"/>
      <c r="H79" s="209"/>
      <c r="I79" s="209"/>
      <c r="J79" s="209"/>
      <c r="K79" s="209"/>
      <c r="L79" s="209"/>
      <c r="M79" s="209"/>
      <c r="N79" s="209"/>
    </row>
    <row r="80" spans="1:14" s="310" customFormat="1" ht="39.75" x14ac:dyDescent="0.4">
      <c r="A80" s="309"/>
      <c r="B80" s="501"/>
      <c r="C80" s="66" t="s">
        <v>900</v>
      </c>
      <c r="D80" s="151">
        <v>1.97</v>
      </c>
      <c r="E80" s="151">
        <v>-60.05</v>
      </c>
      <c r="F80" s="55">
        <v>-60.925249999999998</v>
      </c>
      <c r="G80" s="52">
        <v>5.42</v>
      </c>
      <c r="H80" s="209"/>
      <c r="I80" s="209"/>
      <c r="J80" s="209"/>
      <c r="K80" s="209"/>
      <c r="L80" s="209"/>
      <c r="M80" s="209"/>
      <c r="N80" s="209"/>
    </row>
    <row r="81" spans="1:14" s="310" customFormat="1" x14ac:dyDescent="0.4">
      <c r="A81" s="309"/>
      <c r="B81" s="501"/>
      <c r="C81" s="79" t="s">
        <v>74</v>
      </c>
      <c r="D81" s="276">
        <v>1.97</v>
      </c>
      <c r="E81" s="276">
        <v>1.97</v>
      </c>
      <c r="F81" s="129">
        <v>-60.93</v>
      </c>
      <c r="G81" s="129">
        <v>5.42</v>
      </c>
      <c r="H81" s="209"/>
      <c r="I81" s="209"/>
      <c r="J81" s="209"/>
      <c r="K81" s="209"/>
      <c r="L81" s="209"/>
      <c r="M81" s="209"/>
      <c r="N81" s="209"/>
    </row>
    <row r="82" spans="1:14" x14ac:dyDescent="0.35">
      <c r="A82" s="2"/>
      <c r="B82" s="394" t="s">
        <v>75</v>
      </c>
      <c r="C82" s="3" t="s">
        <v>899</v>
      </c>
      <c r="D82" s="54">
        <v>6.95</v>
      </c>
      <c r="E82" s="261">
        <f>F67/E78</f>
        <v>4.0929203539823016</v>
      </c>
      <c r="F82" s="55">
        <f>I67/F78</f>
        <v>8.695324283559577</v>
      </c>
      <c r="G82" s="55">
        <f>L67/G78</f>
        <v>19.917145382235972</v>
      </c>
      <c r="H82" s="53"/>
      <c r="I82" s="53"/>
      <c r="J82" s="53"/>
      <c r="K82" s="53"/>
      <c r="L82" s="53"/>
      <c r="M82" s="53"/>
      <c r="N82" s="53"/>
    </row>
    <row r="83" spans="1:14" x14ac:dyDescent="0.4">
      <c r="A83" s="2"/>
      <c r="B83" s="394"/>
      <c r="C83" s="3" t="s">
        <v>73</v>
      </c>
      <c r="D83" s="54"/>
      <c r="E83" s="54"/>
      <c r="F83" s="52"/>
      <c r="G83" s="52"/>
      <c r="H83" s="53"/>
      <c r="I83" s="53"/>
      <c r="J83" s="53"/>
      <c r="K83" s="53"/>
      <c r="L83" s="53"/>
      <c r="M83" s="53"/>
      <c r="N83" s="53"/>
    </row>
    <row r="84" spans="1:14" ht="39.75" x14ac:dyDescent="0.4">
      <c r="A84" s="2"/>
      <c r="B84" s="394"/>
      <c r="C84" s="21" t="s">
        <v>900</v>
      </c>
      <c r="D84" s="54">
        <v>182.94</v>
      </c>
      <c r="E84" s="186">
        <v>0</v>
      </c>
      <c r="F84" s="52">
        <v>0</v>
      </c>
      <c r="G84" s="55">
        <f>281.25/G80</f>
        <v>51.891143911439116</v>
      </c>
      <c r="H84" s="53"/>
      <c r="I84" s="53"/>
      <c r="J84" s="53"/>
      <c r="K84" s="53"/>
      <c r="L84" s="53"/>
      <c r="M84" s="53"/>
      <c r="N84" s="53"/>
    </row>
    <row r="85" spans="1:14" x14ac:dyDescent="0.4">
      <c r="A85" s="2"/>
      <c r="B85" s="394"/>
      <c r="C85" s="3" t="s">
        <v>74</v>
      </c>
      <c r="D85" s="127">
        <f>D84</f>
        <v>182.94</v>
      </c>
      <c r="E85" s="127"/>
      <c r="F85" s="129">
        <v>0</v>
      </c>
      <c r="G85" s="129">
        <v>51.89</v>
      </c>
      <c r="H85" s="53"/>
      <c r="I85" s="53"/>
      <c r="J85" s="53"/>
      <c r="K85" s="53"/>
      <c r="L85" s="53"/>
      <c r="M85" s="53"/>
    </row>
    <row r="86" spans="1:14" ht="14.6" x14ac:dyDescent="0.4">
      <c r="A86" s="2"/>
      <c r="B86" s="394" t="s">
        <v>76</v>
      </c>
      <c r="C86" s="3" t="s">
        <v>899</v>
      </c>
      <c r="D86" s="156">
        <v>0.38300000000000001</v>
      </c>
      <c r="E86" s="262">
        <v>0.253</v>
      </c>
      <c r="F86" s="56">
        <f>2086.78/4736.47</f>
        <v>0.44057705421970372</v>
      </c>
      <c r="G86" s="56">
        <f>4719.93/13400.2</f>
        <v>0.35222832495037387</v>
      </c>
      <c r="H86" s="53"/>
      <c r="I86" s="263"/>
      <c r="J86" s="263"/>
      <c r="K86" s="263"/>
      <c r="L86" s="263"/>
      <c r="M86" s="263"/>
    </row>
    <row r="87" spans="1:14" x14ac:dyDescent="0.4">
      <c r="A87" s="2"/>
      <c r="B87" s="394"/>
      <c r="C87" s="3" t="s">
        <v>73</v>
      </c>
      <c r="D87" s="54"/>
      <c r="E87" s="54"/>
      <c r="F87" s="52"/>
      <c r="G87" s="52"/>
      <c r="H87" s="53"/>
      <c r="I87" s="53"/>
      <c r="J87" s="53"/>
      <c r="K87" s="53"/>
      <c r="L87" s="53"/>
      <c r="M87" s="53"/>
    </row>
    <row r="88" spans="1:14" ht="39.75" x14ac:dyDescent="0.35">
      <c r="A88" s="2"/>
      <c r="B88" s="394"/>
      <c r="C88" s="21" t="s">
        <v>900</v>
      </c>
      <c r="D88" s="156">
        <v>3.5000000000000001E-3</v>
      </c>
      <c r="E88" s="262">
        <v>-4.0000000000000002E-4</v>
      </c>
      <c r="F88" s="52">
        <v>-11.6</v>
      </c>
      <c r="G88" s="56">
        <f>1255.79/142256.98</f>
        <v>8.8276160508960599E-3</v>
      </c>
      <c r="H88" s="53"/>
      <c r="I88" s="53"/>
      <c r="J88" s="53"/>
      <c r="K88" s="53"/>
      <c r="L88" s="53"/>
      <c r="M88" s="53"/>
    </row>
    <row r="89" spans="1:14" x14ac:dyDescent="0.4">
      <c r="A89" s="2"/>
      <c r="B89" s="394"/>
      <c r="C89" s="3" t="s">
        <v>74</v>
      </c>
      <c r="D89" s="196">
        <v>3.5000000000000001E-3</v>
      </c>
      <c r="E89" s="196">
        <v>-4.0000000000000002E-4</v>
      </c>
      <c r="F89" s="129">
        <v>-11.6</v>
      </c>
      <c r="G89" s="314">
        <v>8.8000000000000005E-3</v>
      </c>
      <c r="H89" s="53"/>
      <c r="I89" s="53"/>
      <c r="J89" s="53"/>
      <c r="K89" s="312"/>
      <c r="L89" s="53"/>
      <c r="M89" s="53"/>
      <c r="N89" s="53"/>
    </row>
    <row r="90" spans="1:14" s="313" customFormat="1" x14ac:dyDescent="0.4">
      <c r="A90" s="311"/>
      <c r="B90" s="502" t="s">
        <v>77</v>
      </c>
      <c r="C90" s="129" t="s">
        <v>899</v>
      </c>
      <c r="D90" s="290">
        <v>13.89</v>
      </c>
      <c r="E90" s="290">
        <v>26.38</v>
      </c>
      <c r="F90" s="55">
        <f>4736.47*100000/10236000</f>
        <v>46.272665103556079</v>
      </c>
      <c r="G90" s="55">
        <f>13400.2/108.01</f>
        <v>124.06443847791871</v>
      </c>
      <c r="H90" s="312"/>
      <c r="I90" s="312"/>
      <c r="J90" s="312"/>
      <c r="K90" s="312"/>
      <c r="L90" s="312"/>
      <c r="M90" s="312"/>
      <c r="N90" s="312"/>
    </row>
    <row r="91" spans="1:14" s="313" customFormat="1" x14ac:dyDescent="0.4">
      <c r="A91" s="311"/>
      <c r="B91" s="502"/>
      <c r="C91" s="129" t="s">
        <v>73</v>
      </c>
      <c r="D91" s="151"/>
      <c r="E91" s="151"/>
      <c r="F91" s="52"/>
      <c r="G91" s="52"/>
      <c r="H91" s="312"/>
      <c r="I91" s="312"/>
      <c r="J91" s="312"/>
      <c r="K91" s="312"/>
      <c r="L91" s="312"/>
      <c r="M91" s="312"/>
      <c r="N91" s="312"/>
    </row>
    <row r="92" spans="1:14" s="313" customFormat="1" ht="39.75" x14ac:dyDescent="0.4">
      <c r="A92" s="311"/>
      <c r="B92" s="502"/>
      <c r="C92" s="52" t="s">
        <v>900</v>
      </c>
      <c r="D92" s="151">
        <v>560.79999999999995</v>
      </c>
      <c r="E92" s="151">
        <v>500.76</v>
      </c>
      <c r="F92" s="52">
        <v>178.84</v>
      </c>
      <c r="G92" s="55">
        <f>142255.98/280</f>
        <v>508.05707142857148</v>
      </c>
      <c r="H92" s="312"/>
      <c r="I92" s="312"/>
      <c r="J92" s="312"/>
      <c r="K92" s="312"/>
      <c r="L92" s="312"/>
      <c r="M92" s="312"/>
      <c r="N92" s="312"/>
    </row>
    <row r="93" spans="1:14" s="313" customFormat="1" x14ac:dyDescent="0.4">
      <c r="A93" s="311"/>
      <c r="B93" s="502"/>
      <c r="C93" s="129" t="s">
        <v>74</v>
      </c>
      <c r="D93" s="276">
        <f>D92</f>
        <v>560.79999999999995</v>
      </c>
      <c r="E93" s="276">
        <f>E92</f>
        <v>500.76</v>
      </c>
      <c r="F93" s="129">
        <v>178.84</v>
      </c>
      <c r="G93" s="129">
        <v>508.06</v>
      </c>
      <c r="H93" s="312"/>
      <c r="I93" s="312"/>
      <c r="J93" s="312"/>
      <c r="K93" s="1"/>
      <c r="L93" s="312"/>
      <c r="M93" s="312"/>
      <c r="N93" s="312"/>
    </row>
    <row r="94" spans="1:14" s="1" customFormat="1" x14ac:dyDescent="0.4">
      <c r="B94" s="412"/>
      <c r="C94" s="413"/>
      <c r="D94" s="413"/>
      <c r="E94" s="413"/>
      <c r="F94" s="413"/>
      <c r="G94" s="414"/>
      <c r="K94" s="53"/>
    </row>
    <row r="95" spans="1:14" ht="29.3" customHeight="1" x14ac:dyDescent="0.4">
      <c r="A95" s="2"/>
      <c r="B95" s="415" t="s">
        <v>901</v>
      </c>
      <c r="C95" s="416"/>
      <c r="D95" s="416"/>
      <c r="E95" s="416"/>
      <c r="F95" s="416"/>
      <c r="G95" s="417"/>
      <c r="H95" s="53"/>
      <c r="I95" s="53"/>
      <c r="J95" s="53"/>
      <c r="K95" s="53"/>
      <c r="L95" s="53"/>
      <c r="M95" s="53"/>
      <c r="N95" s="53"/>
    </row>
    <row r="96" spans="1:14" x14ac:dyDescent="0.4">
      <c r="A96" s="2"/>
      <c r="B96" s="418" t="s">
        <v>85</v>
      </c>
      <c r="C96" s="419"/>
      <c r="D96" s="419"/>
      <c r="E96" s="419"/>
      <c r="F96" s="419"/>
      <c r="G96" s="420"/>
      <c r="H96" s="53"/>
      <c r="I96" s="53"/>
      <c r="J96" s="53"/>
      <c r="K96" s="53"/>
      <c r="L96" s="53"/>
      <c r="M96" s="53"/>
      <c r="N96" s="53"/>
    </row>
    <row r="97" spans="1:14" x14ac:dyDescent="0.4">
      <c r="A97" s="2"/>
      <c r="B97" s="363"/>
      <c r="C97" s="368"/>
      <c r="D97" s="368"/>
      <c r="E97" s="368"/>
      <c r="F97" s="368"/>
      <c r="G97" s="369"/>
      <c r="H97" s="53"/>
      <c r="I97" s="53"/>
      <c r="J97" s="53"/>
      <c r="L97" s="53"/>
      <c r="M97" s="53"/>
      <c r="N97" s="53"/>
    </row>
    <row r="98" spans="1:14" x14ac:dyDescent="0.4">
      <c r="C98" s="407"/>
      <c r="D98" s="407"/>
      <c r="E98" s="407"/>
      <c r="F98" s="407"/>
      <c r="G98" s="407"/>
      <c r="H98" s="53"/>
      <c r="I98" s="53"/>
    </row>
    <row r="99" spans="1:14" ht="25.65" x14ac:dyDescent="0.4">
      <c r="A99" s="9">
        <v>14</v>
      </c>
      <c r="B99" s="61" t="s">
        <v>78</v>
      </c>
      <c r="C99" s="356" t="s">
        <v>41</v>
      </c>
      <c r="D99" s="357"/>
      <c r="E99" s="357"/>
      <c r="F99" s="357"/>
      <c r="G99" s="408"/>
    </row>
    <row r="100" spans="1:14" x14ac:dyDescent="0.4">
      <c r="C100" s="69"/>
      <c r="D100" s="69"/>
      <c r="E100" s="69"/>
      <c r="F100" s="69"/>
      <c r="G100" s="69"/>
    </row>
    <row r="102" spans="1:14" x14ac:dyDescent="0.4">
      <c r="B102" s="409" t="s">
        <v>1181</v>
      </c>
      <c r="C102" s="410"/>
      <c r="D102" s="410"/>
      <c r="E102" s="410"/>
      <c r="F102" s="410"/>
      <c r="G102" s="410"/>
      <c r="H102" s="410"/>
    </row>
    <row r="107" spans="1:14" x14ac:dyDescent="0.4">
      <c r="D107" s="107"/>
      <c r="E107" s="107"/>
    </row>
    <row r="108" spans="1:14" x14ac:dyDescent="0.4">
      <c r="E108" s="107"/>
    </row>
    <row r="111" spans="1:14" ht="15.05" customHeight="1" x14ac:dyDescent="0.4"/>
    <row r="112" spans="1:14" ht="15.05" customHeight="1" x14ac:dyDescent="0.4"/>
    <row r="119" ht="15.05" customHeight="1" x14ac:dyDescent="0.4"/>
  </sheetData>
  <sheetProtection algorithmName="SHA-512" hashValue="jXF39iNukRU9WRbuHkFww9CrCRIYXeJUU0+xK1IuxKm6F5nitCMYf4YPSryxOhtYMmxgDvOpXLTgbZZCRSNYng==" saltValue="KavWPLsGQR7WJG0QVz2eJA==" spinCount="100000" sheet="1" objects="1" scenarios="1"/>
  <mergeCells count="67">
    <mergeCell ref="B57:H57"/>
    <mergeCell ref="B28:C28"/>
    <mergeCell ref="B29:C29"/>
    <mergeCell ref="B30:C30"/>
    <mergeCell ref="B31:C31"/>
    <mergeCell ref="B32:C32"/>
    <mergeCell ref="C55:H55"/>
    <mergeCell ref="C56:H56"/>
    <mergeCell ref="B53:B54"/>
    <mergeCell ref="B39:C39"/>
    <mergeCell ref="B48:E48"/>
    <mergeCell ref="B35:H35"/>
    <mergeCell ref="B42:H42"/>
    <mergeCell ref="C43:H43"/>
    <mergeCell ref="C44:H44"/>
    <mergeCell ref="C45:H45"/>
    <mergeCell ref="B86:B89"/>
    <mergeCell ref="B90:B93"/>
    <mergeCell ref="B102:H102"/>
    <mergeCell ref="B94:G94"/>
    <mergeCell ref="B95:G95"/>
    <mergeCell ref="B96:G96"/>
    <mergeCell ref="B97:G97"/>
    <mergeCell ref="C98:G98"/>
    <mergeCell ref="C99:G99"/>
    <mergeCell ref="B72:N72"/>
    <mergeCell ref="B73:N73"/>
    <mergeCell ref="B75:G75"/>
    <mergeCell ref="B78:B81"/>
    <mergeCell ref="B82:B85"/>
    <mergeCell ref="B71:N71"/>
    <mergeCell ref="C59:E59"/>
    <mergeCell ref="B65:B66"/>
    <mergeCell ref="C65:C66"/>
    <mergeCell ref="D65:D66"/>
    <mergeCell ref="E65:E66"/>
    <mergeCell ref="F65:H65"/>
    <mergeCell ref="I65:K65"/>
    <mergeCell ref="L65:N65"/>
    <mergeCell ref="B69:N69"/>
    <mergeCell ref="B70:N70"/>
    <mergeCell ref="B46:H46"/>
    <mergeCell ref="B33:F33"/>
    <mergeCell ref="B52:H52"/>
    <mergeCell ref="C53:H54"/>
    <mergeCell ref="A1:B1"/>
    <mergeCell ref="B6:D6"/>
    <mergeCell ref="B9:D9"/>
    <mergeCell ref="C3:H3"/>
    <mergeCell ref="C5:G5"/>
    <mergeCell ref="F20:H20"/>
    <mergeCell ref="F21:H21"/>
    <mergeCell ref="F22:H22"/>
    <mergeCell ref="B26:H26"/>
    <mergeCell ref="B20:E20"/>
    <mergeCell ref="B21:E21"/>
    <mergeCell ref="B22:E22"/>
    <mergeCell ref="B23:H23"/>
    <mergeCell ref="B27:F27"/>
    <mergeCell ref="C11:H11"/>
    <mergeCell ref="B12:D12"/>
    <mergeCell ref="B15:C15"/>
    <mergeCell ref="F18:H18"/>
    <mergeCell ref="F19:H19"/>
    <mergeCell ref="B17:H17"/>
    <mergeCell ref="B18:E18"/>
    <mergeCell ref="B19:E19"/>
  </mergeCells>
  <pageMargins left="0" right="0" top="0.42499999999999999" bottom="0.75" header="0.10625" footer="0.3"/>
  <pageSetup paperSize="5" scale="70" fitToWidth="0" fitToHeight="0" orientation="landscape" verticalDpi="1200" r:id="rId1"/>
  <rowBreaks count="2" manualBreakCount="2">
    <brk id="39" max="13" man="1"/>
    <brk id="63" max="1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N133"/>
  <sheetViews>
    <sheetView view="pageBreakPreview" zoomScale="85" zoomScaleNormal="96" zoomScaleSheetLayoutView="85" zoomScalePageLayoutView="50" workbookViewId="0">
      <selection activeCell="C15" sqref="C15"/>
    </sheetView>
  </sheetViews>
  <sheetFormatPr defaultRowHeight="14.6" x14ac:dyDescent="0.4"/>
  <cols>
    <col min="2" max="2" width="46.07421875" bestFit="1" customWidth="1"/>
    <col min="3" max="3" width="19" customWidth="1"/>
    <col min="4" max="4" width="13.3046875" customWidth="1"/>
    <col min="5" max="5" width="12.84375" customWidth="1"/>
    <col min="6" max="6" width="10" bestFit="1" customWidth="1"/>
    <col min="7" max="7" width="12.4609375" customWidth="1"/>
  </cols>
  <sheetData>
    <row r="2" spans="1:14" ht="15.05" customHeight="1" x14ac:dyDescent="0.4">
      <c r="B2" s="242" t="s">
        <v>0</v>
      </c>
      <c r="C2" s="8"/>
      <c r="D2" s="1"/>
      <c r="E2" s="8"/>
      <c r="F2" s="8"/>
      <c r="G2" s="8"/>
      <c r="H2" s="8"/>
      <c r="I2" s="8"/>
      <c r="J2" s="8"/>
      <c r="K2" s="8"/>
      <c r="L2" s="8"/>
      <c r="M2" s="8"/>
      <c r="N2" s="8"/>
    </row>
    <row r="3" spans="1:14" x14ac:dyDescent="0.4">
      <c r="A3" s="8"/>
      <c r="B3" s="8"/>
      <c r="C3" s="8"/>
      <c r="D3" s="8"/>
      <c r="E3" s="8"/>
      <c r="F3" s="8"/>
      <c r="G3" s="8"/>
      <c r="H3" s="8"/>
      <c r="I3" s="8"/>
      <c r="J3" s="8"/>
      <c r="K3" s="8"/>
      <c r="L3" s="8"/>
      <c r="M3" s="8"/>
      <c r="N3" s="8"/>
    </row>
    <row r="4" spans="1:14" ht="25.65" x14ac:dyDescent="0.4">
      <c r="A4" s="2" t="s">
        <v>1</v>
      </c>
      <c r="B4" s="3" t="s">
        <v>2</v>
      </c>
      <c r="C4" s="61" t="s">
        <v>821</v>
      </c>
      <c r="D4" s="8"/>
      <c r="E4" s="8"/>
      <c r="F4" s="8"/>
      <c r="G4" s="8"/>
      <c r="H4" s="8"/>
      <c r="I4" s="8"/>
      <c r="J4" s="8"/>
      <c r="K4" s="8"/>
      <c r="L4" s="8"/>
      <c r="M4" s="8"/>
      <c r="N4" s="8"/>
    </row>
    <row r="5" spans="1:14" x14ac:dyDescent="0.4">
      <c r="A5" s="8"/>
      <c r="B5" s="8"/>
      <c r="C5" s="8"/>
      <c r="D5" s="5"/>
      <c r="E5" s="8"/>
      <c r="F5" s="8"/>
      <c r="G5" s="8"/>
      <c r="H5" s="8"/>
      <c r="I5" s="8"/>
      <c r="J5" s="8"/>
      <c r="K5" s="8"/>
      <c r="L5" s="8"/>
      <c r="M5" s="8"/>
      <c r="N5" s="8"/>
    </row>
    <row r="6" spans="1:14" ht="15.05" customHeight="1" x14ac:dyDescent="0.4">
      <c r="A6" s="187">
        <v>1</v>
      </c>
      <c r="B6" s="7" t="s">
        <v>3</v>
      </c>
      <c r="C6" s="507" t="s">
        <v>702</v>
      </c>
      <c r="D6" s="508"/>
      <c r="E6" s="243"/>
      <c r="F6" s="8"/>
      <c r="G6" s="8"/>
      <c r="H6" s="8"/>
      <c r="I6" s="8"/>
      <c r="J6" s="8"/>
      <c r="K6" s="8"/>
      <c r="L6" s="8"/>
      <c r="M6" s="8"/>
      <c r="N6" s="8"/>
    </row>
    <row r="7" spans="1:14" x14ac:dyDescent="0.4">
      <c r="A7" s="9"/>
      <c r="B7" s="244" t="s">
        <v>5</v>
      </c>
      <c r="C7" s="244"/>
      <c r="D7" s="244"/>
      <c r="E7" s="10"/>
      <c r="F7" s="8"/>
      <c r="G7" s="8"/>
      <c r="H7" s="8"/>
      <c r="I7" s="8"/>
      <c r="J7" s="8"/>
      <c r="K7" s="8"/>
      <c r="L7" s="8"/>
      <c r="M7" s="8"/>
      <c r="N7" s="8"/>
    </row>
    <row r="8" spans="1:14" x14ac:dyDescent="0.4">
      <c r="A8" s="9"/>
      <c r="B8" s="11"/>
      <c r="C8" s="8"/>
      <c r="D8" s="5"/>
      <c r="E8" s="8"/>
      <c r="F8" s="8"/>
      <c r="G8" s="8"/>
      <c r="H8" s="8"/>
      <c r="I8" s="8"/>
      <c r="J8" s="8"/>
      <c r="K8" s="8"/>
      <c r="L8" s="8"/>
      <c r="M8" s="8"/>
      <c r="N8" s="8"/>
    </row>
    <row r="9" spans="1:14" x14ac:dyDescent="0.4">
      <c r="A9" s="9">
        <v>2</v>
      </c>
      <c r="B9" s="7" t="s">
        <v>6</v>
      </c>
      <c r="C9" s="12" t="s">
        <v>822</v>
      </c>
      <c r="D9" s="5"/>
      <c r="E9" s="8"/>
      <c r="F9" s="8"/>
      <c r="G9" s="8"/>
      <c r="H9" s="8"/>
      <c r="I9" s="8"/>
      <c r="J9" s="8"/>
      <c r="K9" s="8"/>
      <c r="L9" s="8"/>
      <c r="M9" s="8"/>
      <c r="N9" s="8"/>
    </row>
    <row r="10" spans="1:14" x14ac:dyDescent="0.4">
      <c r="A10" s="9"/>
      <c r="B10" s="247" t="s">
        <v>5</v>
      </c>
      <c r="C10" s="248"/>
      <c r="D10" s="249"/>
      <c r="E10" s="8"/>
      <c r="F10" s="8"/>
      <c r="G10" s="8"/>
      <c r="H10" s="8"/>
      <c r="I10" s="8"/>
      <c r="J10" s="8"/>
      <c r="K10" s="8"/>
      <c r="L10" s="8"/>
      <c r="M10" s="8"/>
      <c r="N10" s="8"/>
    </row>
    <row r="11" spans="1:14" x14ac:dyDescent="0.4">
      <c r="A11" s="9"/>
      <c r="B11" s="11"/>
      <c r="C11" s="8"/>
      <c r="D11" s="5"/>
      <c r="E11" s="8"/>
      <c r="F11" s="8"/>
      <c r="G11" s="8"/>
      <c r="H11" s="8"/>
      <c r="I11" s="8"/>
      <c r="J11" s="8"/>
      <c r="K11" s="8"/>
      <c r="L11" s="8"/>
      <c r="M11" s="8"/>
      <c r="N11" s="8"/>
    </row>
    <row r="12" spans="1:14" ht="28.5" customHeight="1" x14ac:dyDescent="0.4">
      <c r="A12" s="9">
        <v>3</v>
      </c>
      <c r="B12" s="7" t="s">
        <v>7</v>
      </c>
      <c r="C12" s="458" t="s">
        <v>1108</v>
      </c>
      <c r="D12" s="458"/>
      <c r="E12" s="458"/>
      <c r="F12" s="458"/>
      <c r="G12" s="8"/>
      <c r="H12" s="8"/>
      <c r="I12" s="8"/>
      <c r="J12" s="8"/>
      <c r="K12" s="8"/>
      <c r="L12" s="8"/>
      <c r="M12" s="8"/>
      <c r="N12" s="8"/>
    </row>
    <row r="13" spans="1:14" x14ac:dyDescent="0.4">
      <c r="A13" s="9"/>
      <c r="B13" s="244" t="s">
        <v>5</v>
      </c>
      <c r="C13" s="257"/>
      <c r="D13" s="257"/>
      <c r="E13" s="10"/>
      <c r="F13" s="8"/>
      <c r="G13" s="8"/>
      <c r="H13" s="8"/>
      <c r="I13" s="8"/>
      <c r="J13" s="8"/>
      <c r="K13" s="8"/>
      <c r="L13" s="8"/>
      <c r="M13" s="8"/>
      <c r="N13" s="8"/>
    </row>
    <row r="14" spans="1:14" x14ac:dyDescent="0.4">
      <c r="A14" s="9"/>
      <c r="B14" s="11"/>
      <c r="C14" s="8"/>
      <c r="D14" s="5"/>
      <c r="E14" s="8"/>
      <c r="F14" s="8"/>
      <c r="G14" s="8"/>
      <c r="H14" s="8"/>
      <c r="I14" s="8"/>
      <c r="J14" s="8"/>
      <c r="K14" s="8"/>
      <c r="L14" s="8"/>
      <c r="M14" s="8"/>
      <c r="N14" s="8"/>
    </row>
    <row r="15" spans="1:14" x14ac:dyDescent="0.4">
      <c r="A15" s="9">
        <v>4</v>
      </c>
      <c r="B15" s="3" t="s">
        <v>9</v>
      </c>
      <c r="C15" s="4" t="s">
        <v>823</v>
      </c>
      <c r="D15" s="5"/>
      <c r="E15" s="8"/>
      <c r="F15" s="8"/>
      <c r="G15" s="8"/>
      <c r="H15" s="8"/>
      <c r="I15" s="8"/>
      <c r="J15" s="8"/>
      <c r="K15" s="8"/>
      <c r="L15" s="8"/>
      <c r="M15" s="8"/>
      <c r="N15" s="8"/>
    </row>
    <row r="16" spans="1:14" x14ac:dyDescent="0.4">
      <c r="A16" s="9"/>
      <c r="B16" s="241" t="s">
        <v>10</v>
      </c>
      <c r="C16" s="246"/>
      <c r="D16" s="5"/>
      <c r="E16" s="8"/>
      <c r="F16" s="8"/>
      <c r="G16" s="8"/>
      <c r="H16" s="8"/>
      <c r="I16" s="8"/>
      <c r="J16" s="8"/>
      <c r="K16" s="8"/>
      <c r="L16" s="8"/>
      <c r="M16" s="8"/>
      <c r="N16" s="8"/>
    </row>
    <row r="17" spans="1:14" x14ac:dyDescent="0.4">
      <c r="A17" s="9"/>
      <c r="B17" s="8"/>
      <c r="C17" s="8"/>
      <c r="D17" s="5"/>
      <c r="E17" s="8"/>
      <c r="F17" s="8"/>
      <c r="G17" s="8"/>
      <c r="H17" s="8"/>
      <c r="I17" s="8"/>
      <c r="J17" s="8"/>
      <c r="K17" s="8"/>
      <c r="L17" s="8"/>
      <c r="M17" s="8"/>
      <c r="N17" s="8"/>
    </row>
    <row r="18" spans="1:14" ht="24.75" customHeight="1" x14ac:dyDescent="0.4">
      <c r="A18" s="9">
        <v>5</v>
      </c>
      <c r="B18" s="365" t="s">
        <v>1082</v>
      </c>
      <c r="C18" s="365"/>
      <c r="D18" s="365"/>
      <c r="E18" s="365"/>
      <c r="F18" s="365"/>
      <c r="G18" s="11"/>
      <c r="H18" s="11"/>
      <c r="I18" s="11"/>
      <c r="J18" s="13"/>
      <c r="K18" s="13"/>
      <c r="L18" s="13"/>
      <c r="M18" s="13"/>
      <c r="N18" s="13"/>
    </row>
    <row r="19" spans="1:14" x14ac:dyDescent="0.4">
      <c r="A19" s="9"/>
      <c r="B19" s="365" t="s">
        <v>12</v>
      </c>
      <c r="C19" s="365"/>
      <c r="D19" s="320" t="s">
        <v>13</v>
      </c>
      <c r="E19" s="320"/>
      <c r="F19" s="320"/>
      <c r="G19" s="13"/>
      <c r="H19" s="13"/>
      <c r="I19" s="13"/>
      <c r="J19" s="13"/>
      <c r="K19" s="13"/>
      <c r="L19" s="13"/>
      <c r="M19" s="13"/>
      <c r="N19" s="13"/>
    </row>
    <row r="20" spans="1:14" ht="27.05" customHeight="1" x14ac:dyDescent="0.4">
      <c r="A20" s="9"/>
      <c r="B20" s="365" t="s">
        <v>1042</v>
      </c>
      <c r="C20" s="499"/>
      <c r="D20" s="20" t="s">
        <v>13</v>
      </c>
      <c r="E20" s="20"/>
      <c r="F20" s="20"/>
      <c r="G20" s="13"/>
      <c r="H20" s="8"/>
      <c r="I20" s="13"/>
      <c r="J20" s="13"/>
      <c r="K20" s="13"/>
      <c r="L20" s="13"/>
      <c r="M20" s="13"/>
      <c r="N20" s="13"/>
    </row>
    <row r="21" spans="1:14" x14ac:dyDescent="0.4">
      <c r="A21" s="9"/>
      <c r="B21" s="365" t="s">
        <v>605</v>
      </c>
      <c r="C21" s="499"/>
      <c r="D21" s="20" t="s">
        <v>13</v>
      </c>
      <c r="E21" s="20"/>
      <c r="F21" s="20"/>
      <c r="G21" s="13"/>
      <c r="H21" s="13"/>
      <c r="I21" s="13"/>
      <c r="J21" s="13"/>
      <c r="K21" s="13"/>
      <c r="L21" s="13"/>
      <c r="M21" s="13"/>
      <c r="N21" s="13"/>
    </row>
    <row r="22" spans="1:14" x14ac:dyDescent="0.4">
      <c r="A22" s="9"/>
      <c r="B22" s="365" t="s">
        <v>15</v>
      </c>
      <c r="C22" s="499"/>
      <c r="D22" s="20" t="s">
        <v>890</v>
      </c>
      <c r="E22" s="20"/>
      <c r="F22" s="20"/>
      <c r="G22" s="13"/>
      <c r="H22" s="13"/>
      <c r="I22" s="13"/>
      <c r="J22" s="13"/>
      <c r="K22" s="13"/>
      <c r="L22" s="13"/>
      <c r="M22" s="13"/>
      <c r="N22" s="13"/>
    </row>
    <row r="23" spans="1:14" ht="39.75" x14ac:dyDescent="0.4">
      <c r="A23" s="9"/>
      <c r="B23" s="365" t="s">
        <v>16</v>
      </c>
      <c r="C23" s="499"/>
      <c r="D23" s="20" t="s">
        <v>201</v>
      </c>
      <c r="E23" s="20"/>
      <c r="F23" s="20"/>
      <c r="G23" s="13"/>
      <c r="H23" s="13"/>
      <c r="I23" s="13"/>
      <c r="J23" s="13"/>
      <c r="K23" s="13"/>
      <c r="L23" s="13"/>
      <c r="M23" s="13"/>
      <c r="N23" s="13"/>
    </row>
    <row r="24" spans="1:14" ht="15.05" customHeight="1" x14ac:dyDescent="0.4">
      <c r="A24" s="9"/>
      <c r="B24" s="480" t="s">
        <v>709</v>
      </c>
      <c r="C24" s="480"/>
      <c r="D24" s="480"/>
      <c r="E24" s="499"/>
      <c r="F24" s="499"/>
      <c r="G24" s="13"/>
      <c r="H24" s="13"/>
      <c r="I24" s="13"/>
      <c r="J24" s="13"/>
      <c r="K24" s="13"/>
      <c r="L24" s="13"/>
      <c r="M24" s="13"/>
      <c r="N24" s="13"/>
    </row>
    <row r="25" spans="1:14" x14ac:dyDescent="0.4">
      <c r="A25" s="9"/>
      <c r="B25" s="8"/>
      <c r="C25" s="13"/>
      <c r="D25" s="13"/>
      <c r="E25" s="13"/>
      <c r="F25" s="15"/>
      <c r="G25" s="13"/>
      <c r="H25" s="13"/>
      <c r="I25" s="13"/>
      <c r="J25" s="13"/>
      <c r="K25" s="13"/>
      <c r="L25" s="13"/>
      <c r="M25" s="13"/>
      <c r="N25" s="13"/>
    </row>
    <row r="26" spans="1:14" x14ac:dyDescent="0.4">
      <c r="A26" s="9"/>
      <c r="B26" s="15"/>
      <c r="C26" s="15"/>
      <c r="D26" s="15"/>
      <c r="E26" s="15"/>
      <c r="F26" s="15"/>
      <c r="G26" s="13"/>
      <c r="H26" s="13"/>
      <c r="I26" s="13"/>
      <c r="J26" s="13"/>
      <c r="K26" s="13"/>
      <c r="L26" s="13"/>
      <c r="M26" s="13"/>
      <c r="N26" s="13"/>
    </row>
    <row r="27" spans="1:14" x14ac:dyDescent="0.4">
      <c r="A27" s="9">
        <v>6</v>
      </c>
      <c r="B27" s="17" t="s">
        <v>1083</v>
      </c>
      <c r="C27" s="17"/>
      <c r="D27" s="17"/>
      <c r="E27" s="17"/>
      <c r="F27" s="11"/>
      <c r="G27" s="11"/>
      <c r="H27" s="13"/>
      <c r="I27" s="11"/>
      <c r="J27" s="11"/>
      <c r="K27" s="8"/>
      <c r="L27" s="8"/>
      <c r="M27" s="8"/>
      <c r="N27" s="8"/>
    </row>
    <row r="28" spans="1:14" x14ac:dyDescent="0.4">
      <c r="A28" s="9"/>
      <c r="B28" s="370" t="s">
        <v>19</v>
      </c>
      <c r="C28" s="371"/>
      <c r="D28" s="371"/>
      <c r="E28" s="372"/>
      <c r="F28" s="15"/>
      <c r="I28" s="8"/>
      <c r="J28" s="8"/>
      <c r="K28" s="8"/>
      <c r="L28" s="8"/>
      <c r="M28" s="8"/>
      <c r="N28" s="8"/>
    </row>
    <row r="29" spans="1:14" x14ac:dyDescent="0.4">
      <c r="A29" s="9"/>
      <c r="B29" s="22" t="s">
        <v>20</v>
      </c>
      <c r="C29" s="240" t="s">
        <v>262</v>
      </c>
      <c r="D29" s="240" t="s">
        <v>263</v>
      </c>
      <c r="E29" s="240" t="s">
        <v>23</v>
      </c>
      <c r="F29" s="15"/>
      <c r="I29" s="8"/>
      <c r="J29" s="8"/>
      <c r="K29" s="8"/>
      <c r="L29" s="8"/>
      <c r="M29" s="8"/>
      <c r="N29" s="8"/>
    </row>
    <row r="30" spans="1:14" ht="15.05" customHeight="1" x14ac:dyDescent="0.4">
      <c r="A30" s="9"/>
      <c r="B30" s="19" t="s">
        <v>24</v>
      </c>
      <c r="C30" s="52">
        <v>1275.0999999999999</v>
      </c>
      <c r="D30" s="21">
        <v>3618.43</v>
      </c>
      <c r="E30" s="21">
        <v>6179.91</v>
      </c>
      <c r="F30" s="15"/>
      <c r="G30" s="8"/>
      <c r="H30" s="8"/>
      <c r="I30" s="8"/>
      <c r="J30" s="8"/>
      <c r="K30" s="8"/>
      <c r="L30" s="8"/>
      <c r="M30" s="8"/>
      <c r="N30" s="8"/>
    </row>
    <row r="31" spans="1:14" x14ac:dyDescent="0.4">
      <c r="A31" s="9"/>
      <c r="B31" s="19" t="s">
        <v>25</v>
      </c>
      <c r="C31" s="52">
        <v>619.78</v>
      </c>
      <c r="D31" s="21">
        <v>1416.52</v>
      </c>
      <c r="E31" s="21">
        <v>2117.08</v>
      </c>
      <c r="F31" s="15"/>
      <c r="G31" s="8"/>
      <c r="H31" s="8"/>
      <c r="I31" s="8"/>
      <c r="J31" s="8"/>
      <c r="K31" s="8"/>
      <c r="L31" s="8"/>
      <c r="M31" s="8"/>
      <c r="N31" s="8"/>
    </row>
    <row r="32" spans="1:14" x14ac:dyDescent="0.4">
      <c r="A32" s="9"/>
      <c r="B32" s="19" t="s">
        <v>26</v>
      </c>
      <c r="C32" s="52">
        <v>1734.16</v>
      </c>
      <c r="D32" s="21">
        <v>1734.16</v>
      </c>
      <c r="E32" s="21">
        <v>1734.16</v>
      </c>
      <c r="F32" s="15"/>
      <c r="G32" s="8"/>
      <c r="H32" s="8"/>
      <c r="I32" s="8"/>
      <c r="J32" s="8"/>
      <c r="K32" s="8"/>
      <c r="L32" s="8"/>
      <c r="M32" s="8"/>
      <c r="N32" s="8"/>
    </row>
    <row r="33" spans="1:14" x14ac:dyDescent="0.4">
      <c r="A33" s="9"/>
      <c r="B33" s="19" t="s">
        <v>27</v>
      </c>
      <c r="C33" s="52">
        <v>971.91</v>
      </c>
      <c r="D33" s="21">
        <v>2319.06</v>
      </c>
      <c r="E33" s="21">
        <v>-659</v>
      </c>
      <c r="F33" s="15"/>
      <c r="G33" s="8"/>
      <c r="H33" s="8"/>
      <c r="I33" s="8"/>
      <c r="J33" s="8"/>
      <c r="K33" s="8"/>
      <c r="L33" s="8"/>
      <c r="M33" s="8"/>
      <c r="N33" s="8"/>
    </row>
    <row r="34" spans="1:14" ht="15.05" customHeight="1" x14ac:dyDescent="0.4">
      <c r="A34" s="9"/>
      <c r="B34" s="363" t="s">
        <v>709</v>
      </c>
      <c r="C34" s="368"/>
      <c r="D34" s="369"/>
      <c r="E34" s="256"/>
      <c r="F34" s="15"/>
      <c r="G34" s="8"/>
      <c r="H34" s="8"/>
      <c r="I34" s="8"/>
      <c r="J34" s="8"/>
      <c r="K34" s="8"/>
      <c r="L34" s="8"/>
      <c r="M34" s="8"/>
      <c r="N34" s="8"/>
    </row>
    <row r="35" spans="1:14" x14ac:dyDescent="0.4">
      <c r="A35" s="9"/>
      <c r="B35" s="13"/>
      <c r="C35" s="15"/>
      <c r="D35" s="15"/>
      <c r="E35" s="15"/>
      <c r="F35" s="15"/>
      <c r="G35" s="8"/>
      <c r="H35" s="8"/>
      <c r="I35" s="8"/>
      <c r="J35" s="8"/>
      <c r="K35" s="8"/>
      <c r="L35" s="8"/>
      <c r="M35" s="8"/>
      <c r="N35" s="8"/>
    </row>
    <row r="36" spans="1:14" ht="35.25" customHeight="1" x14ac:dyDescent="0.4">
      <c r="A36" s="9">
        <v>7</v>
      </c>
      <c r="B36" s="405" t="s">
        <v>28</v>
      </c>
      <c r="C36" s="406"/>
      <c r="D36" s="406"/>
      <c r="E36" s="376"/>
      <c r="F36" s="11"/>
      <c r="G36" s="11"/>
      <c r="H36" s="11"/>
      <c r="I36" s="11"/>
      <c r="J36" s="11"/>
      <c r="K36" s="8"/>
      <c r="L36" s="8"/>
      <c r="M36" s="8"/>
      <c r="N36" s="8"/>
    </row>
    <row r="37" spans="1:14" x14ac:dyDescent="0.4">
      <c r="A37" s="9"/>
      <c r="B37" s="17" t="s">
        <v>29</v>
      </c>
      <c r="C37" s="20" t="s">
        <v>881</v>
      </c>
      <c r="D37" s="13"/>
      <c r="E37" s="13"/>
      <c r="F37" s="13"/>
      <c r="G37" s="8"/>
      <c r="H37" s="8"/>
      <c r="I37" s="8"/>
      <c r="J37" s="8"/>
      <c r="K37" s="8"/>
      <c r="L37" s="8"/>
      <c r="M37" s="8"/>
      <c r="N37" s="8"/>
    </row>
    <row r="38" spans="1:14" x14ac:dyDescent="0.4">
      <c r="A38" s="9"/>
      <c r="B38" s="17" t="s">
        <v>31</v>
      </c>
      <c r="C38" s="20" t="s">
        <v>881</v>
      </c>
      <c r="D38" s="13"/>
      <c r="E38" s="13"/>
      <c r="F38" s="13"/>
      <c r="G38" s="8"/>
      <c r="H38" s="8"/>
      <c r="I38" s="8"/>
      <c r="J38" s="8"/>
      <c r="K38" s="8"/>
      <c r="L38" s="8"/>
      <c r="M38" s="8"/>
      <c r="N38" s="8"/>
    </row>
    <row r="39" spans="1:14" x14ac:dyDescent="0.4">
      <c r="A39" s="9"/>
      <c r="B39" s="22" t="s">
        <v>32</v>
      </c>
      <c r="C39" s="155" t="s">
        <v>30</v>
      </c>
      <c r="D39" s="13"/>
      <c r="E39" s="13"/>
      <c r="F39" s="13"/>
      <c r="G39" s="8"/>
      <c r="H39" s="8"/>
      <c r="I39" s="8"/>
      <c r="J39" s="8"/>
      <c r="K39" s="8"/>
      <c r="L39" s="8"/>
      <c r="M39" s="8"/>
      <c r="N39" s="8"/>
    </row>
    <row r="40" spans="1:14" ht="15.05" customHeight="1" x14ac:dyDescent="0.4">
      <c r="A40" s="9"/>
      <c r="B40" s="360" t="s">
        <v>709</v>
      </c>
      <c r="C40" s="362"/>
      <c r="D40" s="13"/>
      <c r="E40" s="13"/>
      <c r="F40" s="13"/>
      <c r="G40" s="8"/>
      <c r="H40" s="8"/>
      <c r="I40" s="8"/>
      <c r="J40" s="8"/>
      <c r="K40" s="8"/>
      <c r="L40" s="8"/>
      <c r="M40" s="8"/>
      <c r="N40" s="8"/>
    </row>
    <row r="41" spans="1:14" x14ac:dyDescent="0.4">
      <c r="A41" s="9"/>
      <c r="B41" s="8"/>
      <c r="C41" s="13"/>
      <c r="D41" s="13"/>
      <c r="E41" s="13"/>
      <c r="F41" s="13"/>
      <c r="G41" s="8"/>
      <c r="H41" s="8"/>
      <c r="I41" s="8"/>
      <c r="J41" s="8"/>
      <c r="K41" s="8"/>
      <c r="L41" s="8"/>
      <c r="M41" s="8"/>
      <c r="N41" s="8"/>
    </row>
    <row r="42" spans="1:14" x14ac:dyDescent="0.4">
      <c r="A42" s="9"/>
      <c r="B42" s="15"/>
      <c r="C42" s="13"/>
      <c r="D42" s="13"/>
      <c r="E42" s="13"/>
      <c r="F42" s="13"/>
      <c r="G42" s="8"/>
      <c r="H42" s="8"/>
      <c r="I42" s="8"/>
      <c r="J42" s="8"/>
      <c r="K42" s="8"/>
      <c r="L42" s="8"/>
      <c r="M42" s="8"/>
      <c r="N42" s="8"/>
    </row>
    <row r="43" spans="1:14" ht="23.3" customHeight="1" x14ac:dyDescent="0.4">
      <c r="A43" s="9">
        <v>8</v>
      </c>
      <c r="B43" s="509" t="s">
        <v>1084</v>
      </c>
      <c r="C43" s="510"/>
      <c r="D43" s="510"/>
      <c r="E43" s="510"/>
      <c r="F43" s="510"/>
      <c r="G43" s="511"/>
      <c r="H43" s="511"/>
      <c r="I43" s="11"/>
      <c r="J43" s="11"/>
      <c r="K43" s="8"/>
      <c r="L43" s="8"/>
      <c r="M43" s="8"/>
      <c r="N43" s="8"/>
    </row>
    <row r="44" spans="1:14" ht="138.69999999999999" customHeight="1" x14ac:dyDescent="0.4">
      <c r="A44" s="9"/>
      <c r="B44" s="17" t="s">
        <v>34</v>
      </c>
      <c r="C44" s="446" t="s">
        <v>1039</v>
      </c>
      <c r="D44" s="446"/>
      <c r="E44" s="446"/>
      <c r="F44" s="446"/>
      <c r="G44" s="446"/>
      <c r="H44" s="446"/>
      <c r="I44" s="446"/>
      <c r="J44" s="446"/>
      <c r="K44" s="446"/>
      <c r="L44" s="8"/>
      <c r="M44" s="8"/>
      <c r="N44" s="8"/>
    </row>
    <row r="45" spans="1:14" x14ac:dyDescent="0.4">
      <c r="A45" s="9"/>
      <c r="B45" s="17" t="s">
        <v>31</v>
      </c>
      <c r="C45" s="446" t="s">
        <v>847</v>
      </c>
      <c r="D45" s="446"/>
      <c r="E45" s="446"/>
      <c r="F45" s="446"/>
      <c r="G45" s="446"/>
      <c r="H45" s="446"/>
      <c r="I45" s="446"/>
      <c r="J45" s="446"/>
      <c r="K45" s="446"/>
      <c r="L45" s="8"/>
      <c r="M45" s="8"/>
      <c r="N45" s="8"/>
    </row>
    <row r="46" spans="1:14" ht="96.75" customHeight="1" x14ac:dyDescent="0.4">
      <c r="A46" s="9"/>
      <c r="B46" s="17" t="s">
        <v>32</v>
      </c>
      <c r="C46" s="497" t="s">
        <v>1111</v>
      </c>
      <c r="D46" s="497"/>
      <c r="E46" s="497"/>
      <c r="F46" s="497"/>
      <c r="G46" s="446"/>
      <c r="H46" s="446"/>
      <c r="I46" s="446"/>
      <c r="J46" s="446"/>
      <c r="K46" s="446"/>
      <c r="L46" s="8"/>
      <c r="M46" s="8"/>
      <c r="N46" s="8"/>
    </row>
    <row r="47" spans="1:14" ht="15.05" customHeight="1" x14ac:dyDescent="0.4">
      <c r="A47" s="9"/>
      <c r="B47" s="517" t="s">
        <v>35</v>
      </c>
      <c r="C47" s="518"/>
      <c r="D47" s="518"/>
      <c r="E47" s="518"/>
      <c r="F47" s="518"/>
      <c r="G47" s="518"/>
      <c r="H47" s="518"/>
      <c r="I47" s="518"/>
      <c r="J47" s="518"/>
      <c r="K47" s="518"/>
      <c r="L47" s="8"/>
      <c r="M47" s="8"/>
      <c r="N47" s="8"/>
    </row>
    <row r="48" spans="1:14" x14ac:dyDescent="0.4">
      <c r="A48" s="2"/>
      <c r="B48" s="8"/>
      <c r="C48" s="8"/>
      <c r="D48" s="23"/>
      <c r="E48" s="13"/>
      <c r="F48" s="8"/>
      <c r="G48" s="8"/>
      <c r="H48" s="8"/>
      <c r="I48" s="8"/>
      <c r="J48" s="8"/>
      <c r="K48" s="8"/>
      <c r="L48" s="8"/>
      <c r="M48" s="8"/>
      <c r="N48" s="8"/>
    </row>
    <row r="49" spans="1:14" ht="15.05" customHeight="1" x14ac:dyDescent="0.4">
      <c r="A49" s="188">
        <v>9</v>
      </c>
      <c r="B49" s="509" t="s">
        <v>1085</v>
      </c>
      <c r="C49" s="510"/>
      <c r="D49" s="510"/>
      <c r="E49" s="510"/>
      <c r="F49" s="510"/>
      <c r="G49" s="510"/>
      <c r="H49" s="510"/>
      <c r="I49" s="510"/>
      <c r="J49" s="510"/>
      <c r="K49" s="510"/>
      <c r="L49" s="8"/>
      <c r="M49" s="8"/>
      <c r="N49" s="8"/>
    </row>
    <row r="50" spans="1:14" ht="56.25" customHeight="1" x14ac:dyDescent="0.4">
      <c r="A50" s="188"/>
      <c r="B50" s="26" t="s">
        <v>37</v>
      </c>
      <c r="C50" s="512" t="s">
        <v>38</v>
      </c>
      <c r="D50" s="512"/>
      <c r="E50" s="512"/>
      <c r="F50" s="512"/>
      <c r="G50" s="513" t="s">
        <v>39</v>
      </c>
      <c r="H50" s="513"/>
      <c r="I50" s="513"/>
      <c r="J50" s="515" t="s">
        <v>206</v>
      </c>
      <c r="K50" s="515"/>
      <c r="L50" s="8"/>
      <c r="M50" s="8"/>
      <c r="N50" s="8"/>
    </row>
    <row r="51" spans="1:14" ht="98.3" customHeight="1" x14ac:dyDescent="0.4">
      <c r="A51" s="29"/>
      <c r="B51" s="78" t="s">
        <v>307</v>
      </c>
      <c r="C51" s="458" t="s">
        <v>824</v>
      </c>
      <c r="D51" s="499"/>
      <c r="E51" s="499"/>
      <c r="F51" s="499"/>
      <c r="G51" s="514" t="s">
        <v>1117</v>
      </c>
      <c r="H51" s="514"/>
      <c r="I51" s="514"/>
      <c r="J51" s="516" t="s">
        <v>83</v>
      </c>
      <c r="K51" s="516"/>
      <c r="L51" s="8"/>
      <c r="M51" s="8"/>
      <c r="N51" s="8"/>
    </row>
    <row r="52" spans="1:14" ht="15.05" customHeight="1" x14ac:dyDescent="0.4">
      <c r="A52" s="189"/>
      <c r="B52" s="250" t="s">
        <v>825</v>
      </c>
      <c r="C52" s="251"/>
      <c r="D52" s="251"/>
      <c r="E52" s="252"/>
      <c r="F52" s="15"/>
      <c r="G52" s="15"/>
      <c r="H52" s="15"/>
      <c r="I52" s="8"/>
      <c r="J52" s="8"/>
      <c r="K52" s="8"/>
      <c r="L52" s="8"/>
      <c r="M52" s="8"/>
      <c r="N52" s="8"/>
    </row>
    <row r="53" spans="1:14" x14ac:dyDescent="0.4">
      <c r="A53" s="190"/>
      <c r="B53" s="62"/>
      <c r="C53" s="23"/>
      <c r="D53" s="23"/>
      <c r="E53" s="23"/>
      <c r="F53" s="15"/>
      <c r="G53" s="15"/>
      <c r="H53" s="15"/>
      <c r="I53" s="15"/>
      <c r="J53" s="8"/>
      <c r="K53" s="8"/>
      <c r="L53" s="8"/>
      <c r="M53" s="8"/>
      <c r="N53" s="8"/>
    </row>
    <row r="54" spans="1:14" ht="15.05" customHeight="1" x14ac:dyDescent="0.4">
      <c r="A54" s="188">
        <v>10</v>
      </c>
      <c r="B54" s="322" t="s">
        <v>1085</v>
      </c>
      <c r="C54" s="22"/>
      <c r="D54" s="22"/>
      <c r="E54" s="22"/>
      <c r="F54" s="15"/>
      <c r="G54" s="15"/>
      <c r="H54" s="15"/>
      <c r="I54" s="8"/>
      <c r="J54" s="8"/>
      <c r="K54" s="8"/>
      <c r="L54" s="8"/>
      <c r="M54" s="8"/>
      <c r="N54" s="8"/>
    </row>
    <row r="55" spans="1:14" ht="57.75" customHeight="1" x14ac:dyDescent="0.4">
      <c r="A55" s="29"/>
      <c r="B55" s="290" t="s">
        <v>43</v>
      </c>
      <c r="C55" s="500" t="s">
        <v>1281</v>
      </c>
      <c r="D55" s="500"/>
      <c r="E55" s="500"/>
      <c r="F55" s="500"/>
      <c r="G55" s="497"/>
      <c r="H55" s="497"/>
      <c r="I55" s="497"/>
      <c r="J55" s="497"/>
      <c r="K55" s="497"/>
      <c r="L55" s="8"/>
      <c r="M55" s="8"/>
      <c r="N55" s="8"/>
    </row>
    <row r="56" spans="1:14" ht="61.55" customHeight="1" x14ac:dyDescent="0.4">
      <c r="A56" s="188"/>
      <c r="B56" s="4" t="s">
        <v>44</v>
      </c>
      <c r="C56" s="514" t="s">
        <v>1280</v>
      </c>
      <c r="D56" s="514"/>
      <c r="E56" s="514"/>
      <c r="F56" s="514"/>
      <c r="G56" s="497"/>
      <c r="H56" s="497"/>
      <c r="I56" s="497"/>
      <c r="J56" s="497"/>
      <c r="K56" s="497"/>
      <c r="L56" s="8"/>
      <c r="M56" s="8"/>
      <c r="N56" s="8"/>
    </row>
    <row r="57" spans="1:14" x14ac:dyDescent="0.4">
      <c r="A57" s="29"/>
      <c r="B57" s="323" t="s">
        <v>45</v>
      </c>
      <c r="C57" s="519" t="s">
        <v>46</v>
      </c>
      <c r="D57" s="520"/>
      <c r="E57" s="520"/>
      <c r="F57" s="520"/>
      <c r="G57" s="8"/>
      <c r="H57" s="8"/>
      <c r="I57" s="8"/>
      <c r="J57" s="8"/>
      <c r="K57" s="34"/>
      <c r="L57" s="8"/>
      <c r="M57" s="8"/>
      <c r="N57" s="8"/>
    </row>
    <row r="58" spans="1:14" ht="15.05" customHeight="1" x14ac:dyDescent="0.4">
      <c r="A58" s="29"/>
      <c r="B58" s="363" t="s">
        <v>825</v>
      </c>
      <c r="C58" s="368"/>
      <c r="D58" s="368"/>
      <c r="E58" s="252"/>
      <c r="F58" s="8"/>
      <c r="G58" s="8"/>
      <c r="H58" s="8"/>
      <c r="I58" s="8"/>
      <c r="J58" s="8"/>
      <c r="K58" s="34"/>
      <c r="L58" s="8"/>
      <c r="M58" s="8"/>
      <c r="N58" s="8"/>
    </row>
    <row r="59" spans="1:14" x14ac:dyDescent="0.4">
      <c r="A59" s="191" t="s">
        <v>47</v>
      </c>
      <c r="B59" s="245" t="s">
        <v>48</v>
      </c>
      <c r="C59" s="245"/>
      <c r="D59" s="245"/>
      <c r="E59" s="245"/>
      <c r="F59" s="63"/>
      <c r="G59" s="63"/>
      <c r="H59" s="63"/>
      <c r="I59" s="63"/>
      <c r="J59" s="63"/>
      <c r="K59" s="63"/>
      <c r="L59" s="63"/>
      <c r="M59" s="63"/>
      <c r="N59" s="63"/>
    </row>
    <row r="60" spans="1:14" x14ac:dyDescent="0.4">
      <c r="A60" s="192"/>
      <c r="B60" s="193"/>
      <c r="C60" s="194"/>
      <c r="D60" s="194"/>
      <c r="E60" s="194"/>
      <c r="F60" s="194"/>
      <c r="G60" s="8"/>
      <c r="H60" s="8"/>
      <c r="I60" s="8"/>
      <c r="J60" s="8"/>
      <c r="K60" s="8"/>
      <c r="L60" s="8"/>
      <c r="M60" s="8"/>
      <c r="N60" s="8"/>
    </row>
    <row r="61" spans="1:14" ht="15.05" customHeight="1" x14ac:dyDescent="0.4">
      <c r="A61" s="9">
        <v>11</v>
      </c>
      <c r="B61" s="3" t="s">
        <v>49</v>
      </c>
      <c r="C61" s="377" t="s">
        <v>1036</v>
      </c>
      <c r="D61" s="378"/>
      <c r="E61" s="379"/>
      <c r="F61" s="11"/>
      <c r="G61" s="11"/>
      <c r="H61" s="43"/>
      <c r="I61" s="11"/>
      <c r="J61" s="11"/>
      <c r="K61" s="8"/>
      <c r="L61" s="8"/>
      <c r="M61" s="8"/>
      <c r="N61" s="8"/>
    </row>
    <row r="62" spans="1:14" x14ac:dyDescent="0.4">
      <c r="A62" s="9"/>
      <c r="B62" s="15"/>
      <c r="C62" s="15"/>
      <c r="D62" s="15"/>
      <c r="E62" s="15"/>
      <c r="F62" s="15"/>
      <c r="G62" s="15"/>
      <c r="H62" s="44"/>
      <c r="I62" s="44"/>
      <c r="J62" s="15"/>
      <c r="K62" s="8"/>
      <c r="L62" s="8"/>
      <c r="M62" s="8"/>
      <c r="N62" s="8"/>
    </row>
    <row r="63" spans="1:14" x14ac:dyDescent="0.4">
      <c r="A63" s="9">
        <v>12</v>
      </c>
      <c r="B63" s="11" t="s">
        <v>51</v>
      </c>
      <c r="C63" s="11"/>
      <c r="D63" s="11"/>
      <c r="E63" s="43"/>
      <c r="F63" s="43"/>
      <c r="G63" s="11"/>
      <c r="H63" s="11"/>
      <c r="I63" s="11"/>
      <c r="J63" s="11"/>
      <c r="K63" s="11"/>
      <c r="L63" s="11"/>
      <c r="M63" s="11"/>
      <c r="N63" s="11"/>
    </row>
    <row r="64" spans="1:14" x14ac:dyDescent="0.4">
      <c r="A64" s="9"/>
      <c r="B64" s="11"/>
      <c r="C64" s="11"/>
      <c r="D64" s="11"/>
      <c r="E64" s="43"/>
      <c r="F64" s="43"/>
      <c r="G64" s="43"/>
      <c r="H64" s="11"/>
      <c r="I64" s="11"/>
      <c r="J64" s="11"/>
      <c r="K64" s="11"/>
      <c r="L64" s="11"/>
      <c r="M64" s="11"/>
      <c r="N64" s="11"/>
    </row>
    <row r="65" spans="1:14" x14ac:dyDescent="0.4">
      <c r="A65" s="9"/>
      <c r="B65" s="17" t="s">
        <v>52</v>
      </c>
      <c r="C65" s="19" t="s">
        <v>826</v>
      </c>
      <c r="D65" s="15"/>
      <c r="E65" s="15"/>
      <c r="F65" s="44"/>
      <c r="G65" s="44"/>
      <c r="H65" s="15"/>
      <c r="I65" s="15"/>
      <c r="J65" s="15"/>
      <c r="K65" s="15"/>
      <c r="L65" s="15"/>
      <c r="M65" s="15"/>
      <c r="N65" s="15"/>
    </row>
    <row r="66" spans="1:14" x14ac:dyDescent="0.4">
      <c r="A66" s="9"/>
      <c r="B66" s="15"/>
      <c r="C66" s="15"/>
      <c r="D66" s="118"/>
      <c r="E66" s="118"/>
      <c r="F66" s="15"/>
      <c r="G66" s="15"/>
      <c r="H66" s="15"/>
      <c r="I66" s="15"/>
      <c r="J66" s="15"/>
      <c r="K66" s="15"/>
      <c r="L66" s="15"/>
      <c r="M66" s="15"/>
      <c r="N66" s="15"/>
    </row>
    <row r="67" spans="1:14" ht="45.75" customHeight="1" x14ac:dyDescent="0.4">
      <c r="A67" s="9"/>
      <c r="B67" s="17" t="s">
        <v>53</v>
      </c>
      <c r="C67" s="403" t="s">
        <v>827</v>
      </c>
      <c r="D67" s="403" t="s">
        <v>271</v>
      </c>
      <c r="E67" s="403" t="s">
        <v>232</v>
      </c>
      <c r="F67" s="395" t="s">
        <v>891</v>
      </c>
      <c r="G67" s="396"/>
      <c r="H67" s="397"/>
      <c r="I67" s="527" t="s">
        <v>55</v>
      </c>
      <c r="J67" s="528"/>
      <c r="K67" s="529"/>
      <c r="L67" s="527" t="s">
        <v>56</v>
      </c>
      <c r="M67" s="528"/>
      <c r="N67" s="529"/>
    </row>
    <row r="68" spans="1:14" ht="38.450000000000003" x14ac:dyDescent="0.4">
      <c r="A68" s="2"/>
      <c r="B68" s="17"/>
      <c r="C68" s="404"/>
      <c r="D68" s="404"/>
      <c r="E68" s="404"/>
      <c r="F68" s="17" t="s">
        <v>57</v>
      </c>
      <c r="G68" s="17" t="s">
        <v>58</v>
      </c>
      <c r="H68" s="17" t="s">
        <v>59</v>
      </c>
      <c r="I68" s="17" t="s">
        <v>60</v>
      </c>
      <c r="J68" s="17" t="s">
        <v>58</v>
      </c>
      <c r="K68" s="17" t="s">
        <v>59</v>
      </c>
      <c r="L68" s="17" t="s">
        <v>60</v>
      </c>
      <c r="M68" s="17" t="s">
        <v>58</v>
      </c>
      <c r="N68" s="17" t="s">
        <v>59</v>
      </c>
    </row>
    <row r="69" spans="1:14" x14ac:dyDescent="0.4">
      <c r="A69" s="2"/>
      <c r="B69" s="17" t="s">
        <v>61</v>
      </c>
      <c r="C69" s="284">
        <v>16.22</v>
      </c>
      <c r="D69" s="101">
        <v>15.75</v>
      </c>
      <c r="E69" s="101">
        <v>22</v>
      </c>
      <c r="F69" s="101">
        <v>61.95</v>
      </c>
      <c r="G69" s="101">
        <v>74.5</v>
      </c>
      <c r="H69" s="101">
        <v>15.25</v>
      </c>
      <c r="I69" s="101">
        <v>173.5</v>
      </c>
      <c r="J69" s="101">
        <v>247</v>
      </c>
      <c r="K69" s="101">
        <v>60</v>
      </c>
      <c r="L69" s="101">
        <v>185.5</v>
      </c>
      <c r="M69" s="101">
        <v>316.8</v>
      </c>
      <c r="N69" s="101">
        <v>164.9</v>
      </c>
    </row>
    <row r="70" spans="1:14" x14ac:dyDescent="0.4">
      <c r="A70" s="2"/>
      <c r="B70" s="22" t="s">
        <v>216</v>
      </c>
      <c r="C70" s="291">
        <v>38310.49</v>
      </c>
      <c r="D70" s="291">
        <v>38854.550000000003</v>
      </c>
      <c r="E70" s="100">
        <v>43277.65</v>
      </c>
      <c r="F70" s="100">
        <v>49509.15</v>
      </c>
      <c r="G70" s="100">
        <v>52516.76</v>
      </c>
      <c r="H70" s="100">
        <v>27500.79</v>
      </c>
      <c r="I70" s="101">
        <v>58568.51</v>
      </c>
      <c r="J70" s="101">
        <v>62245.43</v>
      </c>
      <c r="K70" s="101">
        <v>47204.5</v>
      </c>
      <c r="L70" s="101">
        <v>58991.519999999997</v>
      </c>
      <c r="M70" s="101">
        <v>63583.07</v>
      </c>
      <c r="N70" s="101">
        <v>50921.22</v>
      </c>
    </row>
    <row r="71" spans="1:14" x14ac:dyDescent="0.4">
      <c r="A71" s="2"/>
      <c r="B71" s="17" t="s">
        <v>1087</v>
      </c>
      <c r="C71" s="253" t="s">
        <v>83</v>
      </c>
      <c r="D71" s="254"/>
      <c r="E71" s="254"/>
      <c r="F71" s="254"/>
      <c r="G71" s="254"/>
      <c r="H71" s="254"/>
      <c r="I71" s="254"/>
      <c r="J71" s="254"/>
      <c r="K71" s="254"/>
      <c r="L71" s="254"/>
      <c r="M71" s="254"/>
      <c r="N71" s="255"/>
    </row>
    <row r="72" spans="1:14" s="8" customFormat="1" ht="12.7" customHeight="1" x14ac:dyDescent="0.4">
      <c r="A72" s="2"/>
      <c r="B72" s="521" t="s">
        <v>1088</v>
      </c>
      <c r="C72" s="522"/>
      <c r="D72" s="522"/>
      <c r="E72" s="522"/>
      <c r="F72" s="522"/>
      <c r="G72" s="522"/>
      <c r="H72" s="522"/>
      <c r="I72" s="522"/>
      <c r="J72" s="522"/>
      <c r="K72" s="522"/>
      <c r="L72" s="522"/>
      <c r="M72" s="522"/>
      <c r="N72" s="523"/>
    </row>
    <row r="73" spans="1:14" x14ac:dyDescent="0.4">
      <c r="A73" s="2"/>
      <c r="B73" s="524" t="s">
        <v>17</v>
      </c>
      <c r="C73" s="525"/>
      <c r="D73" s="525"/>
      <c r="E73" s="525"/>
      <c r="F73" s="525"/>
      <c r="G73" s="525"/>
      <c r="H73" s="525"/>
      <c r="I73" s="525"/>
      <c r="J73" s="525"/>
      <c r="K73" s="525"/>
      <c r="L73" s="525"/>
      <c r="M73" s="525"/>
      <c r="N73" s="526"/>
    </row>
    <row r="74" spans="1:14" ht="15.05" customHeight="1" x14ac:dyDescent="0.4">
      <c r="A74" s="2"/>
      <c r="B74" s="360" t="s">
        <v>63</v>
      </c>
      <c r="C74" s="361"/>
      <c r="D74" s="361"/>
      <c r="E74" s="361"/>
      <c r="F74" s="361"/>
      <c r="G74" s="361"/>
      <c r="H74" s="361"/>
      <c r="I74" s="525"/>
      <c r="J74" s="525"/>
      <c r="K74" s="525"/>
      <c r="L74" s="525"/>
      <c r="M74" s="525"/>
      <c r="N74" s="526"/>
    </row>
    <row r="75" spans="1:14" ht="15.05" customHeight="1" x14ac:dyDescent="0.4">
      <c r="A75" s="1"/>
      <c r="B75" s="360" t="s">
        <v>64</v>
      </c>
      <c r="C75" s="361"/>
      <c r="D75" s="361"/>
      <c r="E75" s="361"/>
      <c r="F75" s="361"/>
      <c r="G75" s="361"/>
      <c r="H75" s="361"/>
      <c r="I75" s="525"/>
      <c r="J75" s="525"/>
      <c r="K75" s="525"/>
      <c r="L75" s="525"/>
      <c r="M75" s="525"/>
      <c r="N75" s="526"/>
    </row>
    <row r="76" spans="1:14" x14ac:dyDescent="0.4">
      <c r="A76" s="2"/>
      <c r="B76" s="360" t="s">
        <v>358</v>
      </c>
      <c r="C76" s="361"/>
      <c r="D76" s="361"/>
      <c r="E76" s="361"/>
      <c r="F76" s="361"/>
      <c r="G76" s="361"/>
      <c r="H76" s="361"/>
      <c r="I76" s="525"/>
      <c r="J76" s="525"/>
      <c r="K76" s="525"/>
      <c r="L76" s="525"/>
      <c r="M76" s="525"/>
      <c r="N76" s="526"/>
    </row>
    <row r="77" spans="1:14" ht="15.05" customHeight="1" x14ac:dyDescent="0.4">
      <c r="A77" s="2"/>
      <c r="B77" s="360" t="s">
        <v>65</v>
      </c>
      <c r="C77" s="361"/>
      <c r="D77" s="361"/>
      <c r="E77" s="361"/>
      <c r="F77" s="361"/>
      <c r="G77" s="361"/>
      <c r="H77" s="361"/>
      <c r="I77" s="525"/>
      <c r="J77" s="525"/>
      <c r="K77" s="525"/>
      <c r="L77" s="525"/>
      <c r="M77" s="525"/>
      <c r="N77" s="526"/>
    </row>
    <row r="78" spans="1:14" x14ac:dyDescent="0.4">
      <c r="A78" s="2"/>
      <c r="B78" s="49"/>
      <c r="C78" s="49"/>
      <c r="D78" s="49"/>
      <c r="E78" s="49"/>
      <c r="F78" s="49"/>
      <c r="G78" s="13"/>
      <c r="H78" s="13"/>
      <c r="I78" s="13"/>
      <c r="J78" s="13"/>
      <c r="K78" s="13"/>
      <c r="L78" s="13"/>
      <c r="M78" s="13"/>
      <c r="N78" s="13"/>
    </row>
    <row r="79" spans="1:14" ht="43.55" customHeight="1" x14ac:dyDescent="0.4">
      <c r="A79" s="9">
        <v>13</v>
      </c>
      <c r="B79" s="405" t="s">
        <v>66</v>
      </c>
      <c r="C79" s="406"/>
      <c r="D79" s="406"/>
      <c r="E79" s="406"/>
      <c r="F79" s="406"/>
      <c r="G79" s="376"/>
      <c r="H79" s="11"/>
      <c r="I79" s="11"/>
      <c r="J79" s="11"/>
      <c r="K79" s="11"/>
      <c r="L79" s="11"/>
      <c r="M79" s="11"/>
      <c r="N79" s="11"/>
    </row>
    <row r="80" spans="1:14" x14ac:dyDescent="0.4">
      <c r="A80" s="9"/>
      <c r="B80" s="8"/>
      <c r="C80" s="15"/>
      <c r="D80" s="15"/>
      <c r="E80" s="15"/>
      <c r="F80" s="15"/>
      <c r="G80" s="15"/>
      <c r="H80" s="15"/>
      <c r="I80" s="15"/>
      <c r="J80" s="15"/>
      <c r="K80" s="15"/>
      <c r="L80" s="15"/>
      <c r="M80" s="15"/>
      <c r="N80" s="15"/>
    </row>
    <row r="81" spans="1:14" ht="38.450000000000003" x14ac:dyDescent="0.4">
      <c r="A81" s="2"/>
      <c r="B81" s="50" t="s">
        <v>67</v>
      </c>
      <c r="C81" s="365" t="s">
        <v>68</v>
      </c>
      <c r="D81" s="499"/>
      <c r="E81" s="499"/>
      <c r="F81" s="18" t="s">
        <v>1127</v>
      </c>
      <c r="G81" s="18" t="s">
        <v>218</v>
      </c>
      <c r="H81" s="18" t="s">
        <v>71</v>
      </c>
      <c r="I81" s="18" t="s">
        <v>107</v>
      </c>
      <c r="J81" s="13"/>
      <c r="K81" s="13"/>
      <c r="L81" s="13"/>
      <c r="M81" s="13"/>
      <c r="N81" s="13"/>
    </row>
    <row r="82" spans="1:14" ht="26.4" customHeight="1" x14ac:dyDescent="0.4">
      <c r="A82" s="2"/>
      <c r="B82" s="411" t="s">
        <v>72</v>
      </c>
      <c r="C82" s="365" t="s">
        <v>828</v>
      </c>
      <c r="D82" s="499"/>
      <c r="E82" s="499"/>
      <c r="F82" s="152">
        <v>0.28000000000000003</v>
      </c>
      <c r="G82" s="152">
        <v>4.0199999999999996</v>
      </c>
      <c r="H82" s="52">
        <v>8.16</v>
      </c>
      <c r="I82" s="52">
        <v>12.21</v>
      </c>
      <c r="J82" s="53"/>
      <c r="K82" s="53"/>
      <c r="L82" s="53"/>
      <c r="M82" s="53"/>
      <c r="N82" s="53"/>
    </row>
    <row r="83" spans="1:14" x14ac:dyDescent="0.4">
      <c r="A83" s="2"/>
      <c r="B83" s="533"/>
      <c r="C83" s="365" t="s">
        <v>765</v>
      </c>
      <c r="D83" s="499"/>
      <c r="E83" s="499"/>
      <c r="F83" s="151"/>
      <c r="G83" s="151"/>
      <c r="H83" s="52"/>
      <c r="I83" s="52"/>
      <c r="J83" s="53"/>
      <c r="K83" s="53"/>
      <c r="L83" s="53"/>
      <c r="M83" s="53"/>
      <c r="N83" s="53"/>
    </row>
    <row r="84" spans="1:14" x14ac:dyDescent="0.4">
      <c r="A84" s="2"/>
      <c r="B84" s="533"/>
      <c r="C84" s="393" t="s">
        <v>829</v>
      </c>
      <c r="D84" s="499"/>
      <c r="E84" s="499"/>
      <c r="F84" s="151">
        <v>18.489999999999998</v>
      </c>
      <c r="G84" s="151">
        <v>8.7100000000000009</v>
      </c>
      <c r="H84" s="55">
        <v>11.554500332888308</v>
      </c>
      <c r="I84" s="52">
        <v>20.22</v>
      </c>
      <c r="J84" s="53"/>
      <c r="K84" s="53"/>
      <c r="L84" s="53"/>
      <c r="M84" s="53"/>
      <c r="N84" s="53"/>
    </row>
    <row r="85" spans="1:14" x14ac:dyDescent="0.4">
      <c r="A85" s="2"/>
      <c r="B85" s="533"/>
      <c r="C85" s="393" t="s">
        <v>830</v>
      </c>
      <c r="D85" s="499"/>
      <c r="E85" s="499"/>
      <c r="F85" s="151">
        <v>1.7</v>
      </c>
      <c r="G85" s="151">
        <v>-18.600000000000001</v>
      </c>
      <c r="H85" s="55">
        <v>-15.412265930232559</v>
      </c>
      <c r="I85" s="52">
        <v>11.6</v>
      </c>
      <c r="J85" s="53"/>
      <c r="K85" s="53"/>
      <c r="L85" s="53"/>
      <c r="M85" s="53"/>
      <c r="N85" s="53"/>
    </row>
    <row r="86" spans="1:14" x14ac:dyDescent="0.4">
      <c r="A86" s="2"/>
      <c r="B86" s="533"/>
      <c r="C86" s="393" t="s">
        <v>831</v>
      </c>
      <c r="D86" s="499"/>
      <c r="E86" s="499"/>
      <c r="F86" s="151">
        <v>1.28</v>
      </c>
      <c r="G86" s="151">
        <v>0.01</v>
      </c>
      <c r="H86" s="55">
        <v>4.3276166052251966E-3</v>
      </c>
      <c r="I86" s="52">
        <v>0.04</v>
      </c>
      <c r="J86" s="53"/>
      <c r="K86" s="53"/>
      <c r="L86" s="53"/>
      <c r="M86" s="53"/>
      <c r="N86" s="53"/>
    </row>
    <row r="87" spans="1:14" x14ac:dyDescent="0.4">
      <c r="A87" s="2"/>
      <c r="B87" s="533"/>
      <c r="C87" s="393" t="s">
        <v>832</v>
      </c>
      <c r="D87" s="499"/>
      <c r="E87" s="499"/>
      <c r="F87" s="151">
        <v>10.47</v>
      </c>
      <c r="G87" s="151">
        <v>-0.73</v>
      </c>
      <c r="H87" s="55">
        <v>-0.41576535382309204</v>
      </c>
      <c r="I87" s="52">
        <v>13.48</v>
      </c>
      <c r="J87" s="53"/>
      <c r="K87" s="53"/>
      <c r="L87" s="53"/>
      <c r="M87" s="53"/>
      <c r="N87" s="53"/>
    </row>
    <row r="88" spans="1:14" x14ac:dyDescent="0.4">
      <c r="A88" s="2"/>
      <c r="B88" s="533"/>
      <c r="C88" s="393" t="s">
        <v>833</v>
      </c>
      <c r="D88" s="499"/>
      <c r="E88" s="499"/>
      <c r="F88" s="151">
        <v>3.04</v>
      </c>
      <c r="G88" s="151">
        <v>-0.2</v>
      </c>
      <c r="H88" s="55">
        <v>-1.7288658775622412E-2</v>
      </c>
      <c r="I88" s="52">
        <v>2.8</v>
      </c>
      <c r="J88" s="53"/>
      <c r="K88" s="53"/>
      <c r="L88" s="53"/>
      <c r="M88" s="53"/>
      <c r="N88" s="53"/>
    </row>
    <row r="89" spans="1:14" x14ac:dyDescent="0.4">
      <c r="A89" s="2"/>
      <c r="B89" s="534"/>
      <c r="C89" s="365" t="s">
        <v>74</v>
      </c>
      <c r="D89" s="499"/>
      <c r="E89" s="499"/>
      <c r="F89" s="276">
        <f>SUM(F84:F88)/5</f>
        <v>6.9959999999999996</v>
      </c>
      <c r="G89" s="276">
        <f>SUM(G84:G88)/5</f>
        <v>-2.1619999999999999</v>
      </c>
      <c r="H89" s="132">
        <f>AVERAGE(H84:H88)</f>
        <v>-0.85729839866754798</v>
      </c>
      <c r="I89" s="132">
        <f>AVERAGE(I84:I88)</f>
        <v>9.6280000000000001</v>
      </c>
      <c r="J89" s="53"/>
      <c r="K89" s="53"/>
      <c r="L89" s="53"/>
      <c r="M89" s="53"/>
      <c r="N89" s="53"/>
    </row>
    <row r="90" spans="1:14" x14ac:dyDescent="0.4">
      <c r="A90" s="2"/>
      <c r="B90" s="411" t="s">
        <v>75</v>
      </c>
      <c r="C90" s="365" t="s">
        <v>828</v>
      </c>
      <c r="D90" s="499"/>
      <c r="E90" s="499"/>
      <c r="F90" s="154">
        <v>53.57</v>
      </c>
      <c r="G90" s="154">
        <f>F69/G82</f>
        <v>15.410447761194032</v>
      </c>
      <c r="H90" s="55">
        <f>I69/H82</f>
        <v>21.262254901960784</v>
      </c>
      <c r="I90" s="55">
        <f>L69/I82</f>
        <v>15.192465192465191</v>
      </c>
      <c r="J90" s="53"/>
      <c r="K90" s="53"/>
      <c r="L90" s="53"/>
      <c r="M90" s="53"/>
      <c r="N90" s="53"/>
    </row>
    <row r="91" spans="1:14" x14ac:dyDescent="0.4">
      <c r="A91" s="2"/>
      <c r="B91" s="533"/>
      <c r="C91" s="365" t="s">
        <v>73</v>
      </c>
      <c r="D91" s="499"/>
      <c r="E91" s="499"/>
      <c r="F91" s="151"/>
      <c r="G91" s="151"/>
      <c r="H91" s="52"/>
      <c r="I91" s="52"/>
      <c r="J91" s="53"/>
      <c r="K91" s="53"/>
      <c r="L91" s="53"/>
      <c r="M91" s="53"/>
      <c r="N91" s="53"/>
    </row>
    <row r="92" spans="1:14" x14ac:dyDescent="0.4">
      <c r="A92" s="2"/>
      <c r="B92" s="533"/>
      <c r="C92" s="393" t="s">
        <v>829</v>
      </c>
      <c r="D92" s="499"/>
      <c r="E92" s="499"/>
      <c r="F92" s="151">
        <v>4.2300000000000004</v>
      </c>
      <c r="G92" s="151">
        <f>117.65/G84</f>
        <v>13.507462686567164</v>
      </c>
      <c r="H92" s="55">
        <v>21.057173565212601</v>
      </c>
      <c r="I92" s="55">
        <f>276.6/I84</f>
        <v>13.679525222551931</v>
      </c>
      <c r="J92" s="53"/>
      <c r="K92" s="53"/>
      <c r="L92" s="53"/>
      <c r="M92" s="53"/>
      <c r="N92" s="53"/>
    </row>
    <row r="93" spans="1:14" x14ac:dyDescent="0.4">
      <c r="A93" s="2"/>
      <c r="B93" s="533"/>
      <c r="C93" s="393" t="s">
        <v>830</v>
      </c>
      <c r="D93" s="499"/>
      <c r="E93" s="499"/>
      <c r="F93" s="151">
        <v>9.5</v>
      </c>
      <c r="G93" s="327">
        <v>0</v>
      </c>
      <c r="H93" s="55">
        <v>0</v>
      </c>
      <c r="I93" s="55">
        <f>38.6/I85</f>
        <v>3.327586206896552</v>
      </c>
      <c r="J93" s="53"/>
      <c r="K93" s="53"/>
      <c r="L93" s="53"/>
      <c r="M93" s="53"/>
      <c r="N93" s="53"/>
    </row>
    <row r="94" spans="1:14" x14ac:dyDescent="0.4">
      <c r="A94" s="2"/>
      <c r="B94" s="533"/>
      <c r="C94" s="393" t="s">
        <v>831</v>
      </c>
      <c r="D94" s="499"/>
      <c r="E94" s="499"/>
      <c r="F94" s="151">
        <v>21.02</v>
      </c>
      <c r="G94" s="328">
        <f>32/G86</f>
        <v>3200</v>
      </c>
      <c r="H94" s="55">
        <v>0</v>
      </c>
      <c r="I94" s="52">
        <f>50.7/I86</f>
        <v>1267.5</v>
      </c>
      <c r="J94" s="53"/>
      <c r="K94" s="53"/>
      <c r="L94" s="53"/>
      <c r="M94" s="53"/>
      <c r="N94" s="53"/>
    </row>
    <row r="95" spans="1:14" x14ac:dyDescent="0.4">
      <c r="A95" s="2"/>
      <c r="B95" s="533"/>
      <c r="C95" s="393" t="s">
        <v>832</v>
      </c>
      <c r="D95" s="499"/>
      <c r="E95" s="499"/>
      <c r="F95" s="151">
        <v>13.05</v>
      </c>
      <c r="G95" s="327">
        <v>0</v>
      </c>
      <c r="H95" s="55">
        <v>23.956559089157501</v>
      </c>
      <c r="I95" s="55">
        <f>249.25/I87</f>
        <v>18.490356083086052</v>
      </c>
      <c r="J95" s="53"/>
      <c r="K95" s="53"/>
      <c r="L95" s="53"/>
      <c r="M95" s="53"/>
      <c r="N95" s="53"/>
    </row>
    <row r="96" spans="1:14" x14ac:dyDescent="0.4">
      <c r="A96" s="2"/>
      <c r="B96" s="533"/>
      <c r="C96" s="393" t="s">
        <v>833</v>
      </c>
      <c r="D96" s="499"/>
      <c r="E96" s="499"/>
      <c r="F96" s="151">
        <v>13.91</v>
      </c>
      <c r="G96" s="327">
        <v>0</v>
      </c>
      <c r="H96" s="55">
        <v>14.7405214352009</v>
      </c>
      <c r="I96" s="55">
        <f>65.17/I88</f>
        <v>23.275000000000002</v>
      </c>
      <c r="J96" s="53"/>
      <c r="K96" s="53"/>
      <c r="L96" s="53"/>
      <c r="M96" s="53"/>
      <c r="N96" s="53"/>
    </row>
    <row r="97" spans="1:14" x14ac:dyDescent="0.4">
      <c r="A97" s="2"/>
      <c r="B97" s="534"/>
      <c r="C97" s="365" t="s">
        <v>74</v>
      </c>
      <c r="D97" s="499"/>
      <c r="E97" s="499"/>
      <c r="F97" s="276">
        <f>SUM(F92:F96)/5</f>
        <v>12.341999999999999</v>
      </c>
      <c r="G97" s="276">
        <f>SUM(G92:G96)/5</f>
        <v>642.70149253731347</v>
      </c>
      <c r="H97" s="132">
        <f>AVERAGE(H92:H96)</f>
        <v>11.950850817914201</v>
      </c>
      <c r="I97" s="132">
        <f>AVERAGE(I92:I96)</f>
        <v>265.25449350250693</v>
      </c>
      <c r="J97" s="53"/>
      <c r="K97" s="53"/>
      <c r="L97" s="53"/>
      <c r="M97" s="53"/>
      <c r="N97" s="53"/>
    </row>
    <row r="98" spans="1:14" x14ac:dyDescent="0.4">
      <c r="A98" s="2"/>
      <c r="B98" s="411" t="s">
        <v>76</v>
      </c>
      <c r="C98" s="365" t="s">
        <v>828</v>
      </c>
      <c r="D98" s="499"/>
      <c r="E98" s="499"/>
      <c r="F98" s="277">
        <v>2.3099999999999999E-2</v>
      </c>
      <c r="G98" s="277">
        <f>C31/2706.07*100</f>
        <v>22.903324747696843</v>
      </c>
      <c r="H98" s="56">
        <f>1415.19/4051.9</f>
        <v>0.34926577654927321</v>
      </c>
      <c r="I98" s="56">
        <f>2114.01/1111.72</f>
        <v>1.9015669413161589</v>
      </c>
      <c r="J98" s="53"/>
      <c r="K98" s="53"/>
      <c r="L98" s="53"/>
      <c r="M98" s="53"/>
      <c r="N98" s="53"/>
    </row>
    <row r="99" spans="1:14" x14ac:dyDescent="0.4">
      <c r="A99" s="2"/>
      <c r="B99" s="533"/>
      <c r="C99" s="365" t="s">
        <v>73</v>
      </c>
      <c r="D99" s="499"/>
      <c r="E99" s="499"/>
      <c r="F99" s="151"/>
      <c r="G99" s="151"/>
      <c r="H99" s="52"/>
      <c r="I99" s="149"/>
      <c r="J99" s="53"/>
      <c r="K99" s="53"/>
      <c r="L99" s="53"/>
      <c r="M99" s="53"/>
      <c r="N99" s="53"/>
    </row>
    <row r="100" spans="1:14" x14ac:dyDescent="0.4">
      <c r="A100" s="2"/>
      <c r="B100" s="533"/>
      <c r="C100" s="393" t="s">
        <v>829</v>
      </c>
      <c r="D100" s="499"/>
      <c r="E100" s="499"/>
      <c r="F100" s="151">
        <v>11.85</v>
      </c>
      <c r="G100" s="329">
        <v>4.7E-2</v>
      </c>
      <c r="H100" s="55">
        <v>4.8314385454940503</v>
      </c>
      <c r="I100" s="56">
        <f>7159/77367</f>
        <v>9.2532992102576039E-2</v>
      </c>
      <c r="J100" s="53"/>
      <c r="K100" s="53"/>
      <c r="L100" s="53"/>
      <c r="M100" s="53"/>
      <c r="N100" s="53"/>
    </row>
    <row r="101" spans="1:14" x14ac:dyDescent="0.4">
      <c r="A101" s="2"/>
      <c r="B101" s="533"/>
      <c r="C101" s="393" t="s">
        <v>830</v>
      </c>
      <c r="D101" s="499"/>
      <c r="E101" s="499"/>
      <c r="F101" s="151">
        <v>0.96</v>
      </c>
      <c r="G101" s="329">
        <v>-0.15989999999999999</v>
      </c>
      <c r="H101" s="55">
        <v>-15.283731614754201</v>
      </c>
      <c r="I101" s="56">
        <f>997/17791</f>
        <v>5.6039570569389019E-2</v>
      </c>
      <c r="J101" s="53"/>
      <c r="K101" s="53"/>
      <c r="L101" s="53"/>
      <c r="M101" s="53"/>
      <c r="N101" s="53"/>
    </row>
    <row r="102" spans="1:14" x14ac:dyDescent="0.4">
      <c r="A102" s="2"/>
      <c r="B102" s="533"/>
      <c r="C102" s="393" t="s">
        <v>831</v>
      </c>
      <c r="D102" s="499"/>
      <c r="E102" s="499"/>
      <c r="F102" s="151">
        <v>4.57</v>
      </c>
      <c r="G102" s="329">
        <v>-5.0000000000000001E-4</v>
      </c>
      <c r="H102" s="55">
        <v>4.5343611218542898E-2</v>
      </c>
      <c r="I102" s="55">
        <f>11.22/3411.52</f>
        <v>3.2888565800581562E-3</v>
      </c>
      <c r="J102" s="53"/>
      <c r="K102" s="53"/>
      <c r="L102" s="53"/>
      <c r="M102" s="53"/>
      <c r="N102" s="53"/>
    </row>
    <row r="103" spans="1:14" x14ac:dyDescent="0.4">
      <c r="A103" s="2"/>
      <c r="B103" s="533"/>
      <c r="C103" s="393" t="s">
        <v>832</v>
      </c>
      <c r="D103" s="499"/>
      <c r="E103" s="499"/>
      <c r="F103" s="151">
        <v>10.07</v>
      </c>
      <c r="G103" s="329">
        <v>4.3E-3</v>
      </c>
      <c r="H103" s="55">
        <v>-0.42802445535560002</v>
      </c>
      <c r="I103" s="56">
        <f>11184/104636</f>
        <v>0.10688481975610689</v>
      </c>
      <c r="J103" s="53"/>
      <c r="K103" s="53"/>
      <c r="L103" s="53"/>
      <c r="M103" s="53"/>
      <c r="N103" s="53"/>
    </row>
    <row r="104" spans="1:14" x14ac:dyDescent="0.4">
      <c r="A104" s="2"/>
      <c r="B104" s="533"/>
      <c r="C104" s="393" t="s">
        <v>833</v>
      </c>
      <c r="D104" s="499"/>
      <c r="E104" s="499"/>
      <c r="F104" s="151">
        <v>6.16</v>
      </c>
      <c r="G104" s="329">
        <v>-2.3999999999999998E-3</v>
      </c>
      <c r="H104" s="55">
        <v>-0.114611081164532</v>
      </c>
      <c r="I104" s="56">
        <f>66.52/1993.4</f>
        <v>3.3370121400622052E-2</v>
      </c>
      <c r="J104" s="53"/>
      <c r="K104" s="53"/>
      <c r="L104" s="53"/>
      <c r="M104" s="53"/>
      <c r="N104" s="53"/>
    </row>
    <row r="105" spans="1:14" x14ac:dyDescent="0.4">
      <c r="A105" s="2"/>
      <c r="B105" s="534"/>
      <c r="C105" s="365" t="s">
        <v>74</v>
      </c>
      <c r="D105" s="499"/>
      <c r="E105" s="499"/>
      <c r="F105" s="276">
        <f>SUM(F100:F104)/5</f>
        <v>6.7219999999999995</v>
      </c>
      <c r="G105" s="276">
        <f>SUM(G100:G104)/5</f>
        <v>-2.2299999999999997E-2</v>
      </c>
      <c r="H105" s="132">
        <f>AVERAGE(H100:H104)</f>
        <v>-2.1899169989123477</v>
      </c>
      <c r="I105" s="314">
        <f>AVERAGE(I100:I104)</f>
        <v>5.8423272081750431E-2</v>
      </c>
      <c r="J105" s="53"/>
      <c r="K105" s="53"/>
      <c r="L105" s="53"/>
      <c r="M105" s="53"/>
      <c r="N105" s="53"/>
    </row>
    <row r="106" spans="1:14" x14ac:dyDescent="0.4">
      <c r="A106" s="2"/>
      <c r="B106" s="411" t="s">
        <v>77</v>
      </c>
      <c r="C106" s="365" t="s">
        <v>828</v>
      </c>
      <c r="D106" s="499"/>
      <c r="E106" s="499"/>
      <c r="F106" s="152">
        <v>12.07</v>
      </c>
      <c r="G106" s="154">
        <f>2706.07/173.416</f>
        <v>15.604500161461457</v>
      </c>
      <c r="H106" s="55">
        <f>4051.9*100000/17341644</f>
        <v>23.365143466213468</v>
      </c>
      <c r="I106" s="55">
        <f>1111.72/173.41</f>
        <v>6.4109336255117935</v>
      </c>
      <c r="J106" s="53"/>
      <c r="K106" s="53"/>
      <c r="L106" s="53"/>
      <c r="M106" s="53"/>
      <c r="N106" s="53"/>
    </row>
    <row r="107" spans="1:14" x14ac:dyDescent="0.4">
      <c r="A107" s="2"/>
      <c r="B107" s="533"/>
      <c r="C107" s="365" t="s">
        <v>73</v>
      </c>
      <c r="D107" s="499"/>
      <c r="E107" s="499"/>
      <c r="F107" s="151"/>
      <c r="G107" s="151"/>
      <c r="H107" s="52"/>
      <c r="I107" s="52"/>
      <c r="J107" s="53"/>
      <c r="K107" s="53"/>
      <c r="L107" s="53"/>
      <c r="M107" s="53"/>
      <c r="N107" s="53"/>
    </row>
    <row r="108" spans="1:14" x14ac:dyDescent="0.4">
      <c r="A108" s="2"/>
      <c r="B108" s="533"/>
      <c r="C108" s="393" t="s">
        <v>829</v>
      </c>
      <c r="D108" s="499"/>
      <c r="E108" s="499"/>
      <c r="F108" s="151">
        <v>157.32</v>
      </c>
      <c r="G108" s="151">
        <v>188.71</v>
      </c>
      <c r="H108" s="55">
        <v>52.785419139844791</v>
      </c>
      <c r="I108" s="55">
        <f>77367/354.8</f>
        <v>218.05806087936864</v>
      </c>
      <c r="J108" s="53"/>
      <c r="K108" s="53"/>
      <c r="L108" s="53"/>
      <c r="M108" s="53"/>
      <c r="N108" s="53"/>
    </row>
    <row r="109" spans="1:14" x14ac:dyDescent="0.4">
      <c r="A109" s="2"/>
      <c r="B109" s="533"/>
      <c r="C109" s="393" t="s">
        <v>830</v>
      </c>
      <c r="D109" s="499"/>
      <c r="E109" s="499"/>
      <c r="F109" s="151">
        <v>177.28</v>
      </c>
      <c r="G109" s="151">
        <v>116.23</v>
      </c>
      <c r="H109" s="55">
        <v>135.15869632233606</v>
      </c>
      <c r="I109" s="55">
        <f>17791/86</f>
        <v>206.87209302325581</v>
      </c>
      <c r="J109" s="53"/>
      <c r="K109" s="53"/>
      <c r="L109" s="53"/>
      <c r="M109" s="53"/>
      <c r="N109" s="53"/>
    </row>
    <row r="110" spans="1:14" x14ac:dyDescent="0.4">
      <c r="A110" s="2"/>
      <c r="B110" s="533"/>
      <c r="C110" s="393" t="s">
        <v>831</v>
      </c>
      <c r="D110" s="499"/>
      <c r="E110" s="499"/>
      <c r="F110" s="151">
        <v>2.37</v>
      </c>
      <c r="G110" s="151">
        <v>18.03</v>
      </c>
      <c r="H110" s="55">
        <v>7.2254110655173109</v>
      </c>
      <c r="I110" s="55">
        <f>3411.52/249.56</f>
        <v>13.670139445423946</v>
      </c>
      <c r="J110" s="53"/>
      <c r="K110" s="53"/>
      <c r="L110" s="53"/>
      <c r="M110" s="53"/>
      <c r="N110" s="53"/>
    </row>
    <row r="111" spans="1:14" x14ac:dyDescent="0.4">
      <c r="A111" s="2"/>
      <c r="B111" s="533"/>
      <c r="C111" s="393" t="s">
        <v>832</v>
      </c>
      <c r="D111" s="499"/>
      <c r="E111" s="499"/>
      <c r="F111" s="151">
        <v>104.03</v>
      </c>
      <c r="G111" s="151">
        <v>117.64</v>
      </c>
      <c r="H111" s="55">
        <v>15.460326781831828</v>
      </c>
      <c r="I111" s="55">
        <f>105492/760</f>
        <v>138.80526315789473</v>
      </c>
      <c r="J111" s="53"/>
      <c r="K111" s="53"/>
      <c r="L111" s="53"/>
      <c r="M111" s="53"/>
      <c r="N111" s="53"/>
    </row>
    <row r="112" spans="1:14" x14ac:dyDescent="0.4">
      <c r="A112" s="2"/>
      <c r="B112" s="533"/>
      <c r="C112" s="393" t="s">
        <v>833</v>
      </c>
      <c r="D112" s="499"/>
      <c r="E112" s="499"/>
      <c r="F112" s="151">
        <v>78.28</v>
      </c>
      <c r="G112" s="151">
        <v>80.5</v>
      </c>
      <c r="H112" s="55">
        <v>3.3920482366920313</v>
      </c>
      <c r="I112" s="55">
        <f>1993.4/23.72</f>
        <v>84.038785834738619</v>
      </c>
      <c r="J112" s="53"/>
      <c r="K112" s="53"/>
      <c r="L112" s="53"/>
      <c r="M112" s="53"/>
      <c r="N112" s="53"/>
    </row>
    <row r="113" spans="1:14" x14ac:dyDescent="0.4">
      <c r="A113" s="2"/>
      <c r="B113" s="534"/>
      <c r="C113" s="365" t="s">
        <v>74</v>
      </c>
      <c r="D113" s="365"/>
      <c r="E113" s="365"/>
      <c r="F113" s="276">
        <f>SUM(F108:F112)/5</f>
        <v>103.85599999999999</v>
      </c>
      <c r="G113" s="276">
        <f>SUM(G108:G112)/5</f>
        <v>104.22200000000001</v>
      </c>
      <c r="H113" s="132">
        <f>AVERAGE(H108:H112)</f>
        <v>42.804380309244401</v>
      </c>
      <c r="I113" s="132">
        <f>AVERAGE(I108:I112)</f>
        <v>132.28886846813637</v>
      </c>
      <c r="J113" s="53"/>
      <c r="K113" s="53"/>
      <c r="L113" s="53"/>
      <c r="M113" s="53"/>
      <c r="N113" s="53"/>
    </row>
    <row r="114" spans="1:14" x14ac:dyDescent="0.4">
      <c r="A114" s="1"/>
      <c r="B114" s="324"/>
      <c r="C114" s="325"/>
      <c r="D114" s="325"/>
      <c r="E114" s="325"/>
      <c r="F114" s="325"/>
      <c r="G114" s="326"/>
      <c r="H114" s="1"/>
      <c r="I114" s="1"/>
      <c r="J114" s="1"/>
      <c r="K114" s="1"/>
      <c r="L114" s="1"/>
      <c r="M114" s="1"/>
      <c r="N114" s="1"/>
    </row>
    <row r="115" spans="1:14" ht="15.05" customHeight="1" x14ac:dyDescent="0.4">
      <c r="A115" s="2"/>
      <c r="B115" s="530" t="s">
        <v>834</v>
      </c>
      <c r="C115" s="530"/>
      <c r="D115" s="530"/>
      <c r="E115" s="530"/>
      <c r="F115" s="530"/>
      <c r="G115" s="530"/>
      <c r="H115" s="530"/>
      <c r="I115" s="530"/>
      <c r="J115" s="53"/>
      <c r="K115" s="53"/>
      <c r="L115" s="53"/>
      <c r="M115" s="53"/>
      <c r="N115" s="53"/>
    </row>
    <row r="116" spans="1:14" ht="15.05" customHeight="1" x14ac:dyDescent="0.4">
      <c r="A116" s="2"/>
      <c r="B116" s="531" t="s">
        <v>85</v>
      </c>
      <c r="C116" s="532"/>
      <c r="D116" s="532"/>
      <c r="E116" s="532"/>
      <c r="F116" s="532"/>
      <c r="G116" s="532"/>
      <c r="H116" s="532"/>
      <c r="I116" s="532"/>
      <c r="J116" s="53"/>
      <c r="K116" s="53"/>
      <c r="L116" s="53"/>
      <c r="M116" s="53"/>
      <c r="N116" s="53"/>
    </row>
    <row r="117" spans="1:14" x14ac:dyDescent="0.4">
      <c r="A117" s="2"/>
      <c r="B117" s="535"/>
      <c r="C117" s="532"/>
      <c r="D117" s="532"/>
      <c r="E117" s="532"/>
      <c r="F117" s="532"/>
      <c r="G117" s="532"/>
      <c r="H117" s="532"/>
      <c r="I117" s="532"/>
      <c r="J117" s="53"/>
      <c r="K117" s="53"/>
      <c r="L117" s="53"/>
      <c r="M117" s="53"/>
      <c r="N117" s="53"/>
    </row>
    <row r="118" spans="1:14" x14ac:dyDescent="0.4">
      <c r="A118" s="8"/>
      <c r="B118" s="8"/>
      <c r="C118" s="23"/>
      <c r="D118" s="23"/>
      <c r="E118" s="23"/>
      <c r="F118" s="23"/>
      <c r="G118" s="23"/>
      <c r="H118" s="53"/>
      <c r="I118" s="53"/>
      <c r="J118" s="8"/>
      <c r="K118" s="8"/>
      <c r="L118" s="8"/>
      <c r="M118" s="8"/>
      <c r="N118" s="8"/>
    </row>
    <row r="119" spans="1:14" x14ac:dyDescent="0.4">
      <c r="A119" s="9">
        <v>14</v>
      </c>
      <c r="B119" s="61" t="s">
        <v>78</v>
      </c>
      <c r="C119" s="458" t="s">
        <v>41</v>
      </c>
      <c r="D119" s="458"/>
      <c r="E119" s="458"/>
      <c r="F119" s="458"/>
      <c r="G119" s="458"/>
      <c r="H119" s="458"/>
      <c r="I119" s="458"/>
      <c r="J119" s="8"/>
      <c r="K119" s="8"/>
      <c r="L119" s="8"/>
      <c r="M119" s="8"/>
      <c r="N119" s="8"/>
    </row>
    <row r="120" spans="1:14" x14ac:dyDescent="0.4">
      <c r="A120" s="8"/>
      <c r="B120" s="8"/>
      <c r="C120" s="8"/>
      <c r="D120" s="8"/>
      <c r="E120" s="8"/>
      <c r="F120" s="8"/>
      <c r="G120" s="8"/>
      <c r="H120" s="8"/>
      <c r="I120" s="8"/>
      <c r="J120" s="8"/>
      <c r="K120" s="8"/>
      <c r="L120" s="8"/>
      <c r="M120" s="8"/>
      <c r="N120" s="8"/>
    </row>
    <row r="121" spans="1:14" x14ac:dyDescent="0.4">
      <c r="A121" s="8"/>
      <c r="B121" s="8"/>
      <c r="C121" s="8"/>
      <c r="D121" s="8"/>
      <c r="E121" s="8"/>
      <c r="F121" s="8"/>
      <c r="G121" s="8"/>
      <c r="H121" s="8"/>
      <c r="I121" s="8"/>
      <c r="J121" s="8"/>
      <c r="K121" s="8"/>
      <c r="L121" s="8"/>
      <c r="M121" s="8"/>
      <c r="N121" s="8"/>
    </row>
    <row r="122" spans="1:14" ht="15.05" customHeight="1" x14ac:dyDescent="0.4">
      <c r="A122" s="8"/>
      <c r="B122" s="259" t="s">
        <v>1274</v>
      </c>
      <c r="C122" s="23"/>
      <c r="D122" s="23"/>
      <c r="E122" s="23"/>
      <c r="F122" s="23"/>
      <c r="G122" s="23"/>
      <c r="H122" s="23"/>
      <c r="I122" s="8"/>
      <c r="J122" s="8"/>
      <c r="K122" s="8"/>
      <c r="L122" s="8"/>
      <c r="M122" s="8"/>
      <c r="N122" s="8"/>
    </row>
    <row r="125" spans="1:14" x14ac:dyDescent="0.4">
      <c r="B125" s="536" t="s">
        <v>1226</v>
      </c>
      <c r="C125" s="536"/>
      <c r="D125" s="536"/>
      <c r="E125" s="536"/>
      <c r="F125" s="536"/>
      <c r="G125" s="536"/>
      <c r="H125" s="536"/>
      <c r="I125" s="536"/>
    </row>
    <row r="131" spans="2:3" x14ac:dyDescent="0.4">
      <c r="B131" s="228"/>
      <c r="C131" s="228"/>
    </row>
    <row r="133" spans="2:3" x14ac:dyDescent="0.4">
      <c r="B133" s="228"/>
      <c r="C133" s="228"/>
    </row>
  </sheetData>
  <sheetProtection algorithmName="SHA-512" hashValue="j60Sza68UMP6peufZkw2UrjaBYDHTAS7T2knv2hMmqpvlgF7eMRDjiiAxWeoB7Ur7TZw6JCfFyjWhdeAHAr3og==" saltValue="KIFRYJlQrbuloTp6ceSP5g==" spinCount="100000" sheet="1" objects="1" scenarios="1"/>
  <mergeCells count="95">
    <mergeCell ref="B117:I117"/>
    <mergeCell ref="C119:I119"/>
    <mergeCell ref="B125:I125"/>
    <mergeCell ref="C83:E83"/>
    <mergeCell ref="C82:E82"/>
    <mergeCell ref="C95:E95"/>
    <mergeCell ref="C94:E94"/>
    <mergeCell ref="C93:E93"/>
    <mergeCell ref="C92:E92"/>
    <mergeCell ref="C91:E91"/>
    <mergeCell ref="C90:E90"/>
    <mergeCell ref="C89:E89"/>
    <mergeCell ref="C85:E85"/>
    <mergeCell ref="C84:E84"/>
    <mergeCell ref="B82:B89"/>
    <mergeCell ref="B90:B97"/>
    <mergeCell ref="B115:I115"/>
    <mergeCell ref="B116:I116"/>
    <mergeCell ref="C88:E88"/>
    <mergeCell ref="C87:E87"/>
    <mergeCell ref="C86:E86"/>
    <mergeCell ref="B106:B113"/>
    <mergeCell ref="B98:B105"/>
    <mergeCell ref="C99:E99"/>
    <mergeCell ref="C98:E98"/>
    <mergeCell ref="C97:E97"/>
    <mergeCell ref="C96:E96"/>
    <mergeCell ref="C103:E103"/>
    <mergeCell ref="C102:E102"/>
    <mergeCell ref="C101:E101"/>
    <mergeCell ref="C100:E100"/>
    <mergeCell ref="C113:E113"/>
    <mergeCell ref="C112:E112"/>
    <mergeCell ref="C111:E111"/>
    <mergeCell ref="C110:E110"/>
    <mergeCell ref="C109:E109"/>
    <mergeCell ref="B75:N75"/>
    <mergeCell ref="C81:E81"/>
    <mergeCell ref="C108:E108"/>
    <mergeCell ref="C107:E107"/>
    <mergeCell ref="C106:E106"/>
    <mergeCell ref="C105:E105"/>
    <mergeCell ref="C104:E104"/>
    <mergeCell ref="B76:N76"/>
    <mergeCell ref="B77:N77"/>
    <mergeCell ref="C57:F57"/>
    <mergeCell ref="B72:N72"/>
    <mergeCell ref="B73:N73"/>
    <mergeCell ref="C55:F55"/>
    <mergeCell ref="B74:N74"/>
    <mergeCell ref="C56:F56"/>
    <mergeCell ref="G55:I55"/>
    <mergeCell ref="G56:I56"/>
    <mergeCell ref="J55:K55"/>
    <mergeCell ref="J56:K56"/>
    <mergeCell ref="I67:K67"/>
    <mergeCell ref="L67:N67"/>
    <mergeCell ref="J44:K44"/>
    <mergeCell ref="J46:K46"/>
    <mergeCell ref="J45:K45"/>
    <mergeCell ref="C50:F50"/>
    <mergeCell ref="C51:F51"/>
    <mergeCell ref="G50:I50"/>
    <mergeCell ref="G51:I51"/>
    <mergeCell ref="J50:K50"/>
    <mergeCell ref="J51:K51"/>
    <mergeCell ref="B49:K49"/>
    <mergeCell ref="B47:K47"/>
    <mergeCell ref="C45:F45"/>
    <mergeCell ref="C46:F46"/>
    <mergeCell ref="G45:I45"/>
    <mergeCell ref="G46:I46"/>
    <mergeCell ref="B23:C23"/>
    <mergeCell ref="B24:F24"/>
    <mergeCell ref="B28:E28"/>
    <mergeCell ref="B36:E36"/>
    <mergeCell ref="C44:F44"/>
    <mergeCell ref="B43:H43"/>
    <mergeCell ref="G44:I44"/>
    <mergeCell ref="C12:F12"/>
    <mergeCell ref="B79:G79"/>
    <mergeCell ref="C6:D6"/>
    <mergeCell ref="B34:D34"/>
    <mergeCell ref="B40:C40"/>
    <mergeCell ref="B58:D58"/>
    <mergeCell ref="C61:E61"/>
    <mergeCell ref="C67:C68"/>
    <mergeCell ref="D67:D68"/>
    <mergeCell ref="E67:E68"/>
    <mergeCell ref="F67:H67"/>
    <mergeCell ref="B18:F18"/>
    <mergeCell ref="B19:C19"/>
    <mergeCell ref="B20:C20"/>
    <mergeCell ref="B21:C21"/>
    <mergeCell ref="B22:C22"/>
  </mergeCells>
  <pageMargins left="0" right="0" top="0.42499999999999999" bottom="0.75" header="0.10625" footer="0.3"/>
  <pageSetup paperSize="5" scale="60" orientation="landscape" verticalDpi="1200" r:id="rId1"/>
  <rowBreaks count="2" manualBreakCount="2">
    <brk id="35" max="16383" man="1"/>
    <brk id="56"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0"/>
  </sheetPr>
  <dimension ref="A1:N111"/>
  <sheetViews>
    <sheetView view="pageBreakPreview" zoomScale="60" zoomScaleNormal="55" zoomScalePageLayoutView="50" workbookViewId="0">
      <selection activeCell="G39" sqref="G39"/>
    </sheetView>
  </sheetViews>
  <sheetFormatPr defaultColWidth="8.84375" defaultRowHeight="13.25" x14ac:dyDescent="0.4"/>
  <cols>
    <col min="1" max="1" width="8.84375" style="8"/>
    <col min="2" max="2" width="40.84375" style="8" customWidth="1"/>
    <col min="3" max="3" width="17.4609375" style="8" customWidth="1"/>
    <col min="4" max="4" width="18.69140625" style="8" customWidth="1"/>
    <col min="5" max="5" width="11.84375" style="8" customWidth="1"/>
    <col min="6" max="6" width="19.84375" style="8" customWidth="1"/>
    <col min="7" max="7" width="12.69140625" style="8" customWidth="1"/>
    <col min="8" max="8" width="10" style="8" bestFit="1" customWidth="1"/>
    <col min="9" max="9" width="11" style="8" customWidth="1"/>
    <col min="10" max="16384" width="8.84375" style="8"/>
  </cols>
  <sheetData>
    <row r="1" spans="1:5" x14ac:dyDescent="0.4">
      <c r="A1" s="355" t="s">
        <v>0</v>
      </c>
      <c r="B1" s="355"/>
      <c r="D1" s="1"/>
    </row>
    <row r="3" spans="1:5" x14ac:dyDescent="0.4">
      <c r="A3" s="2" t="s">
        <v>1</v>
      </c>
      <c r="B3" s="3" t="s">
        <v>2</v>
      </c>
      <c r="C3" s="497" t="s">
        <v>902</v>
      </c>
      <c r="D3" s="497"/>
      <c r="E3" s="497"/>
    </row>
    <row r="4" spans="1:5" x14ac:dyDescent="0.4">
      <c r="D4" s="5"/>
    </row>
    <row r="5" spans="1:5" x14ac:dyDescent="0.4">
      <c r="A5" s="36">
        <v>1</v>
      </c>
      <c r="B5" s="3" t="s">
        <v>3</v>
      </c>
      <c r="C5" s="458" t="s">
        <v>702</v>
      </c>
      <c r="D5" s="458"/>
      <c r="E5" s="458"/>
    </row>
    <row r="6" spans="1:5" x14ac:dyDescent="0.4">
      <c r="A6" s="9"/>
      <c r="B6" s="480" t="s">
        <v>5</v>
      </c>
      <c r="C6" s="480"/>
      <c r="D6" s="480"/>
      <c r="E6" s="480"/>
    </row>
    <row r="7" spans="1:5" x14ac:dyDescent="0.4">
      <c r="A7" s="9"/>
      <c r="B7" s="11"/>
      <c r="D7" s="5"/>
    </row>
    <row r="8" spans="1:5" x14ac:dyDescent="0.4">
      <c r="A8" s="9">
        <v>2</v>
      </c>
      <c r="B8" s="3" t="s">
        <v>6</v>
      </c>
      <c r="C8" s="497" t="s">
        <v>903</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1114</v>
      </c>
      <c r="D14" s="497"/>
      <c r="E14" s="497"/>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0.1255</v>
      </c>
      <c r="D18" s="367"/>
      <c r="E18" s="367"/>
      <c r="F18" s="15"/>
      <c r="G18" s="13"/>
      <c r="H18" s="13"/>
      <c r="I18" s="13"/>
      <c r="J18" s="13"/>
      <c r="K18" s="13"/>
      <c r="L18" s="13"/>
      <c r="M18" s="13"/>
      <c r="N18" s="13"/>
    </row>
    <row r="19" spans="1:14" ht="25.65" x14ac:dyDescent="0.4">
      <c r="A19" s="9"/>
      <c r="B19" s="14" t="s">
        <v>1041</v>
      </c>
      <c r="C19" s="367">
        <v>0.1255</v>
      </c>
      <c r="D19" s="367"/>
      <c r="E19" s="367"/>
      <c r="F19" s="15"/>
      <c r="G19" s="13"/>
      <c r="I19" s="13"/>
      <c r="J19" s="13"/>
      <c r="K19" s="13"/>
      <c r="L19" s="13"/>
      <c r="M19" s="13"/>
      <c r="N19" s="13"/>
    </row>
    <row r="20" spans="1:14" x14ac:dyDescent="0.4">
      <c r="A20" s="9"/>
      <c r="B20" s="14" t="s">
        <v>605</v>
      </c>
      <c r="C20" s="367">
        <v>0.1123</v>
      </c>
      <c r="D20" s="354"/>
      <c r="E20" s="354"/>
      <c r="F20" s="15"/>
      <c r="G20" s="239"/>
      <c r="H20" s="13"/>
      <c r="I20" s="13"/>
      <c r="J20" s="13"/>
      <c r="K20" s="13"/>
      <c r="L20" s="13"/>
      <c r="M20" s="13"/>
      <c r="N20" s="13"/>
    </row>
    <row r="21" spans="1:14" x14ac:dyDescent="0.4">
      <c r="A21" s="9"/>
      <c r="B21" s="16" t="s">
        <v>15</v>
      </c>
      <c r="C21" s="454">
        <v>9.0300000000000005E-2</v>
      </c>
      <c r="D21" s="447"/>
      <c r="E21" s="447"/>
      <c r="F21" s="15"/>
      <c r="G21" s="239"/>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15"/>
      <c r="C23" s="15"/>
      <c r="D23" s="15"/>
      <c r="E23" s="15"/>
      <c r="F23" s="15"/>
      <c r="G23" s="13"/>
      <c r="H23" s="13"/>
      <c r="I23" s="13"/>
      <c r="J23" s="13"/>
      <c r="K23" s="13"/>
      <c r="L23" s="13"/>
      <c r="M23" s="13"/>
      <c r="N23" s="13"/>
    </row>
    <row r="24" spans="1:14" x14ac:dyDescent="0.4">
      <c r="A24" s="9">
        <v>6</v>
      </c>
      <c r="B24" s="365" t="s">
        <v>1083</v>
      </c>
      <c r="C24" s="365"/>
      <c r="D24" s="365"/>
      <c r="E24" s="365"/>
      <c r="F24" s="11"/>
      <c r="G24" s="11"/>
      <c r="H24" s="13"/>
      <c r="I24" s="11"/>
      <c r="J24" s="11"/>
    </row>
    <row r="25" spans="1:14" x14ac:dyDescent="0.4">
      <c r="A25" s="9"/>
      <c r="B25" s="370" t="s">
        <v>19</v>
      </c>
      <c r="C25" s="371"/>
      <c r="D25" s="371"/>
      <c r="E25" s="372"/>
      <c r="F25" s="15"/>
    </row>
    <row r="26" spans="1:14" x14ac:dyDescent="0.4">
      <c r="A26" s="9"/>
      <c r="B26" s="17" t="s">
        <v>20</v>
      </c>
      <c r="C26" s="18" t="s">
        <v>262</v>
      </c>
      <c r="D26" s="18" t="s">
        <v>263</v>
      </c>
      <c r="E26" s="18" t="s">
        <v>23</v>
      </c>
      <c r="F26" s="15"/>
    </row>
    <row r="27" spans="1:14" ht="12.7" customHeight="1" x14ac:dyDescent="0.4">
      <c r="A27" s="9"/>
      <c r="B27" s="19" t="s">
        <v>24</v>
      </c>
      <c r="C27" s="172">
        <v>180131.43</v>
      </c>
      <c r="D27" s="540" t="s">
        <v>264</v>
      </c>
      <c r="E27" s="540" t="s">
        <v>203</v>
      </c>
      <c r="F27" s="15"/>
    </row>
    <row r="28" spans="1:14" x14ac:dyDescent="0.4">
      <c r="A28" s="9"/>
      <c r="B28" s="19" t="s">
        <v>25</v>
      </c>
      <c r="C28" s="172">
        <v>38336.29</v>
      </c>
      <c r="D28" s="541"/>
      <c r="E28" s="541"/>
      <c r="F28" s="15"/>
    </row>
    <row r="29" spans="1:14" x14ac:dyDescent="0.4">
      <c r="A29" s="9"/>
      <c r="B29" s="19" t="s">
        <v>26</v>
      </c>
      <c r="C29" s="21">
        <v>687.4</v>
      </c>
      <c r="D29" s="541"/>
      <c r="E29" s="541"/>
      <c r="F29" s="15"/>
    </row>
    <row r="30" spans="1:14" x14ac:dyDescent="0.4">
      <c r="A30" s="9"/>
      <c r="B30" s="19" t="s">
        <v>27</v>
      </c>
      <c r="C30" s="172">
        <v>40252.379999999997</v>
      </c>
      <c r="D30" s="542"/>
      <c r="E30" s="542"/>
      <c r="F30" s="197"/>
    </row>
    <row r="31" spans="1:14" x14ac:dyDescent="0.4">
      <c r="A31" s="9"/>
      <c r="B31" s="13"/>
      <c r="C31" s="15"/>
      <c r="D31" s="15"/>
      <c r="E31" s="15"/>
      <c r="F31" s="15"/>
    </row>
    <row r="32" spans="1:14" x14ac:dyDescent="0.4">
      <c r="A32" s="9">
        <v>7</v>
      </c>
      <c r="B32" s="365" t="s">
        <v>28</v>
      </c>
      <c r="C32" s="365"/>
      <c r="D32" s="365"/>
      <c r="E32" s="365"/>
      <c r="F32" s="11"/>
      <c r="G32" s="11"/>
      <c r="H32" s="11"/>
      <c r="I32" s="11"/>
      <c r="J32" s="11"/>
    </row>
    <row r="33" spans="1:10" x14ac:dyDescent="0.4">
      <c r="A33" s="9"/>
      <c r="B33" s="17" t="s">
        <v>29</v>
      </c>
      <c r="C33" s="446" t="s">
        <v>30</v>
      </c>
      <c r="D33" s="446"/>
      <c r="E33" s="446"/>
      <c r="F33" s="13"/>
    </row>
    <row r="34" spans="1:10" x14ac:dyDescent="0.4">
      <c r="A34" s="9"/>
      <c r="B34" s="17" t="s">
        <v>31</v>
      </c>
      <c r="C34" s="373" t="s">
        <v>30</v>
      </c>
      <c r="D34" s="374"/>
      <c r="E34" s="375"/>
      <c r="F34" s="13"/>
    </row>
    <row r="35" spans="1:10" x14ac:dyDescent="0.4">
      <c r="A35" s="9"/>
      <c r="B35" s="17" t="s">
        <v>32</v>
      </c>
      <c r="C35" s="373" t="s">
        <v>201</v>
      </c>
      <c r="D35" s="374"/>
      <c r="E35" s="375"/>
      <c r="F35" s="13"/>
    </row>
    <row r="36" spans="1:10" x14ac:dyDescent="0.4">
      <c r="A36" s="9"/>
      <c r="C36" s="13"/>
      <c r="D36" s="13"/>
      <c r="E36" s="13"/>
      <c r="F36" s="13"/>
    </row>
    <row r="37" spans="1:10" x14ac:dyDescent="0.4">
      <c r="A37" s="9"/>
      <c r="B37" s="15"/>
      <c r="C37" s="13"/>
      <c r="D37" s="13"/>
      <c r="E37" s="13"/>
      <c r="F37" s="13"/>
    </row>
    <row r="38" spans="1:10" x14ac:dyDescent="0.4">
      <c r="A38" s="9">
        <v>8</v>
      </c>
      <c r="B38" s="365" t="s">
        <v>1084</v>
      </c>
      <c r="C38" s="366"/>
      <c r="D38" s="366"/>
      <c r="E38" s="366"/>
      <c r="F38" s="11"/>
      <c r="G38" s="11"/>
      <c r="H38" s="11"/>
      <c r="I38" s="11"/>
      <c r="J38" s="11"/>
    </row>
    <row r="39" spans="1:10" ht="75.75" customHeight="1" x14ac:dyDescent="0.45">
      <c r="A39" s="9"/>
      <c r="B39" s="17" t="s">
        <v>34</v>
      </c>
      <c r="C39" s="373" t="s">
        <v>1040</v>
      </c>
      <c r="D39" s="374"/>
      <c r="E39" s="375"/>
      <c r="F39" s="53"/>
      <c r="G39" s="182"/>
    </row>
    <row r="40" spans="1:10" ht="63.75" customHeight="1" x14ac:dyDescent="0.4">
      <c r="A40" s="9"/>
      <c r="B40" s="17" t="s">
        <v>31</v>
      </c>
      <c r="C40" s="373" t="s">
        <v>1250</v>
      </c>
      <c r="D40" s="374"/>
      <c r="E40" s="375"/>
      <c r="F40" s="53"/>
    </row>
    <row r="41" spans="1:10" ht="27.05" customHeight="1" x14ac:dyDescent="0.4">
      <c r="A41" s="9"/>
      <c r="B41" s="17" t="s">
        <v>32</v>
      </c>
      <c r="C41" s="373" t="s">
        <v>1231</v>
      </c>
      <c r="D41" s="374"/>
      <c r="E41" s="375"/>
      <c r="F41" s="53"/>
    </row>
    <row r="42" spans="1:10" x14ac:dyDescent="0.4">
      <c r="A42" s="9"/>
      <c r="B42" s="363" t="s">
        <v>35</v>
      </c>
      <c r="C42" s="543"/>
      <c r="D42" s="543"/>
      <c r="E42" s="544"/>
      <c r="F42" s="13"/>
    </row>
    <row r="43" spans="1:10" x14ac:dyDescent="0.4">
      <c r="A43" s="2"/>
      <c r="D43" s="23"/>
      <c r="E43" s="13"/>
    </row>
    <row r="44" spans="1:10" x14ac:dyDescent="0.4">
      <c r="A44" s="24">
        <v>9</v>
      </c>
      <c r="B44" s="376" t="s">
        <v>1085</v>
      </c>
      <c r="C44" s="365"/>
      <c r="D44" s="365"/>
      <c r="E44" s="365"/>
      <c r="F44" s="25"/>
      <c r="G44" s="11"/>
      <c r="H44" s="11"/>
      <c r="I44" s="11"/>
    </row>
    <row r="45" spans="1:10" ht="51.25" x14ac:dyDescent="0.4">
      <c r="A45" s="24"/>
      <c r="B45" s="26" t="s">
        <v>37</v>
      </c>
      <c r="C45" s="27" t="s">
        <v>38</v>
      </c>
      <c r="D45" s="28" t="s">
        <v>39</v>
      </c>
      <c r="E45" s="27" t="s">
        <v>206</v>
      </c>
    </row>
    <row r="46" spans="1:10" ht="141.05000000000001" customHeight="1" x14ac:dyDescent="0.4">
      <c r="A46" s="29"/>
      <c r="B46" s="78" t="s">
        <v>307</v>
      </c>
      <c r="C46" s="78" t="s">
        <v>904</v>
      </c>
      <c r="D46" s="78" t="s">
        <v>1118</v>
      </c>
      <c r="E46" s="117" t="s">
        <v>83</v>
      </c>
    </row>
    <row r="47" spans="1:10" x14ac:dyDescent="0.4">
      <c r="A47" s="264"/>
      <c r="B47" s="260" t="s">
        <v>1120</v>
      </c>
      <c r="C47" s="23"/>
      <c r="D47" s="23"/>
      <c r="E47" s="265"/>
    </row>
    <row r="48" spans="1:10" x14ac:dyDescent="0.4">
      <c r="A48" s="31"/>
      <c r="B48" s="380"/>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383" t="s">
        <v>43</v>
      </c>
      <c r="C51" s="385" t="s">
        <v>1038</v>
      </c>
      <c r="D51" s="386"/>
      <c r="E51" s="387"/>
      <c r="K51" s="1"/>
    </row>
    <row r="52" spans="1:14" ht="52.45" customHeight="1" x14ac:dyDescent="0.4">
      <c r="A52" s="29"/>
      <c r="B52" s="384"/>
      <c r="C52" s="388"/>
      <c r="D52" s="389"/>
      <c r="E52" s="390"/>
      <c r="K52" s="1"/>
    </row>
    <row r="53" spans="1:14" ht="62.3" customHeight="1" x14ac:dyDescent="0.4">
      <c r="A53" s="24"/>
      <c r="B53" s="33" t="s">
        <v>44</v>
      </c>
      <c r="C53" s="391" t="s">
        <v>1119</v>
      </c>
      <c r="D53" s="391"/>
      <c r="E53" s="391"/>
    </row>
    <row r="54" spans="1:14" x14ac:dyDescent="0.4">
      <c r="A54" s="29"/>
      <c r="B54" s="33" t="s">
        <v>45</v>
      </c>
      <c r="C54" s="471" t="s">
        <v>46</v>
      </c>
      <c r="D54" s="472"/>
      <c r="E54" s="473"/>
      <c r="K54" s="34"/>
    </row>
    <row r="55" spans="1:14" x14ac:dyDescent="0.4">
      <c r="A55" s="29"/>
      <c r="B55" s="260" t="s">
        <v>1120</v>
      </c>
      <c r="C55" s="144"/>
      <c r="D55" s="144"/>
      <c r="E55" s="144"/>
      <c r="K55" s="34"/>
    </row>
    <row r="56" spans="1:14" s="63" customFormat="1" x14ac:dyDescent="0.35">
      <c r="A56" s="35" t="s">
        <v>47</v>
      </c>
      <c r="B56" s="392" t="s">
        <v>48</v>
      </c>
      <c r="C56" s="392"/>
      <c r="D56" s="392"/>
      <c r="E56" s="392"/>
    </row>
    <row r="57" spans="1:14" x14ac:dyDescent="0.4">
      <c r="A57" s="40"/>
      <c r="B57" s="41"/>
      <c r="C57" s="42"/>
      <c r="D57" s="42"/>
      <c r="E57" s="42"/>
      <c r="F57" s="42"/>
    </row>
    <row r="58" spans="1:14" x14ac:dyDescent="0.4">
      <c r="A58" s="9">
        <v>11</v>
      </c>
      <c r="B58" s="3" t="s">
        <v>49</v>
      </c>
      <c r="C58" s="393" t="s">
        <v>1037</v>
      </c>
      <c r="D58" s="393"/>
      <c r="E58" s="393"/>
      <c r="F58" s="11"/>
      <c r="G58" s="11"/>
      <c r="H58" s="43"/>
      <c r="I58" s="11"/>
      <c r="J58" s="11"/>
    </row>
    <row r="59" spans="1:14" x14ac:dyDescent="0.4">
      <c r="A59" s="9"/>
      <c r="B59" s="15"/>
      <c r="C59" s="15"/>
      <c r="D59" s="15"/>
      <c r="E59" s="15"/>
      <c r="F59" s="15"/>
      <c r="G59" s="15"/>
      <c r="H59" s="44"/>
      <c r="I59" s="44"/>
      <c r="J59" s="15"/>
    </row>
    <row r="60" spans="1:14" x14ac:dyDescent="0.4">
      <c r="A60" s="9">
        <v>12</v>
      </c>
      <c r="B60" s="11" t="s">
        <v>51</v>
      </c>
      <c r="C60" s="11"/>
      <c r="D60" s="11"/>
      <c r="E60" s="43"/>
      <c r="F60" s="43"/>
      <c r="G60" s="11"/>
      <c r="H60" s="11"/>
      <c r="I60" s="11"/>
      <c r="J60" s="11"/>
      <c r="K60" s="11"/>
      <c r="L60" s="11"/>
      <c r="M60" s="11"/>
      <c r="N60" s="11"/>
    </row>
    <row r="61" spans="1:14" x14ac:dyDescent="0.4">
      <c r="A61" s="9"/>
      <c r="B61" s="11"/>
      <c r="C61" s="11"/>
      <c r="D61" s="11"/>
      <c r="E61" s="43"/>
      <c r="F61" s="43"/>
      <c r="G61" s="43"/>
      <c r="H61" s="11"/>
      <c r="I61" s="11"/>
      <c r="J61" s="11"/>
      <c r="K61" s="11"/>
      <c r="L61" s="11"/>
      <c r="M61" s="11"/>
      <c r="N61" s="11"/>
    </row>
    <row r="62" spans="1:14" x14ac:dyDescent="0.4">
      <c r="A62" s="9"/>
      <c r="B62" s="17" t="s">
        <v>52</v>
      </c>
      <c r="C62" s="446" t="s">
        <v>905</v>
      </c>
      <c r="D62" s="446"/>
      <c r="E62" s="446"/>
      <c r="F62" s="44"/>
      <c r="G62" s="44"/>
      <c r="H62" s="15"/>
      <c r="I62" s="15"/>
      <c r="J62" s="15"/>
      <c r="K62" s="15"/>
      <c r="L62" s="15"/>
      <c r="M62" s="15"/>
      <c r="N62" s="15"/>
    </row>
    <row r="63" spans="1:14" x14ac:dyDescent="0.4">
      <c r="A63" s="9"/>
      <c r="B63" s="15"/>
      <c r="C63" s="15"/>
      <c r="D63" s="118"/>
      <c r="E63" s="118"/>
      <c r="F63" s="15"/>
      <c r="G63" s="15"/>
      <c r="H63" s="15"/>
      <c r="I63" s="15"/>
      <c r="J63" s="15"/>
      <c r="K63" s="15"/>
      <c r="L63" s="15"/>
      <c r="M63" s="15"/>
      <c r="N63" s="15"/>
    </row>
    <row r="64" spans="1:14" x14ac:dyDescent="0.4">
      <c r="A64" s="9"/>
      <c r="B64" s="365" t="s">
        <v>53</v>
      </c>
      <c r="C64" s="366" t="s">
        <v>906</v>
      </c>
      <c r="D64" s="366" t="s">
        <v>271</v>
      </c>
      <c r="E64" s="403" t="s">
        <v>232</v>
      </c>
      <c r="F64" s="395" t="s">
        <v>626</v>
      </c>
      <c r="G64" s="396"/>
      <c r="H64" s="397"/>
      <c r="I64" s="398" t="s">
        <v>55</v>
      </c>
      <c r="J64" s="398"/>
      <c r="K64" s="398"/>
      <c r="L64" s="398" t="s">
        <v>56</v>
      </c>
      <c r="M64" s="398"/>
      <c r="N64" s="398"/>
    </row>
    <row r="65" spans="1:14" ht="38.450000000000003" x14ac:dyDescent="0.4">
      <c r="A65" s="2"/>
      <c r="B65" s="365"/>
      <c r="C65" s="402"/>
      <c r="D65" s="402"/>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140</v>
      </c>
      <c r="D66" s="101">
        <v>315.95</v>
      </c>
      <c r="E66" s="101">
        <v>722.65</v>
      </c>
      <c r="F66" s="101">
        <v>7844.7</v>
      </c>
      <c r="G66" s="101">
        <v>12599.95</v>
      </c>
      <c r="H66" s="101">
        <v>140</v>
      </c>
      <c r="I66" s="101">
        <v>540.54999999999995</v>
      </c>
      <c r="J66" s="101">
        <v>9899.9500000000007</v>
      </c>
      <c r="K66" s="101">
        <v>511.95</v>
      </c>
      <c r="L66" s="45" t="s">
        <v>41</v>
      </c>
      <c r="M66" s="45" t="s">
        <v>41</v>
      </c>
      <c r="N66" s="45" t="s">
        <v>41</v>
      </c>
    </row>
    <row r="67" spans="1:14" ht="25.65" x14ac:dyDescent="0.4">
      <c r="A67" s="2"/>
      <c r="B67" s="17" t="s">
        <v>216</v>
      </c>
      <c r="C67" s="284">
        <v>49661.760000000002</v>
      </c>
      <c r="D67" s="284">
        <v>48949.760000000002</v>
      </c>
      <c r="E67" s="101">
        <v>52880</v>
      </c>
      <c r="F67" s="101">
        <v>58568.51</v>
      </c>
      <c r="G67" s="101">
        <v>62245.43</v>
      </c>
      <c r="H67" s="101">
        <v>47204.5</v>
      </c>
      <c r="I67" s="101">
        <v>58991.519999999997</v>
      </c>
      <c r="J67" s="101">
        <v>63583.07</v>
      </c>
      <c r="K67" s="101">
        <v>50921.22</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x14ac:dyDescent="0.4">
      <c r="A69" s="2"/>
      <c r="B69" s="399" t="s">
        <v>1089</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s="1" customFormat="1" x14ac:dyDescent="0.4">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49"/>
      <c r="E75" s="49"/>
      <c r="F75" s="49"/>
      <c r="G75" s="13"/>
      <c r="H75" s="13"/>
      <c r="I75" s="13"/>
      <c r="J75" s="13"/>
      <c r="K75" s="13"/>
      <c r="L75" s="13"/>
      <c r="M75" s="13"/>
      <c r="N75" s="13"/>
    </row>
    <row r="76" spans="1:14" ht="50.25" customHeight="1" x14ac:dyDescent="0.4">
      <c r="A76" s="9">
        <v>13</v>
      </c>
      <c r="B76" s="405" t="s">
        <v>66</v>
      </c>
      <c r="C76" s="406"/>
      <c r="D76" s="406"/>
      <c r="E76" s="406"/>
      <c r="F76" s="406"/>
      <c r="G76" s="376"/>
      <c r="H76" s="11"/>
      <c r="I76" s="11"/>
      <c r="J76" s="11"/>
      <c r="K76" s="11"/>
      <c r="L76" s="11"/>
      <c r="M76" s="11"/>
      <c r="N76" s="11"/>
    </row>
    <row r="77" spans="1:14" x14ac:dyDescent="0.4">
      <c r="A77" s="9"/>
      <c r="C77" s="15"/>
      <c r="D77" s="15"/>
      <c r="E77" s="15"/>
      <c r="F77" s="15"/>
      <c r="G77" s="15"/>
      <c r="H77" s="15"/>
      <c r="I77" s="15"/>
      <c r="J77" s="15"/>
      <c r="K77" s="15"/>
      <c r="L77" s="15"/>
      <c r="M77" s="15"/>
      <c r="N77" s="15"/>
    </row>
    <row r="78" spans="1:14" ht="25.65" x14ac:dyDescent="0.4">
      <c r="A78" s="2"/>
      <c r="B78" s="50" t="s">
        <v>67</v>
      </c>
      <c r="C78" s="18" t="s">
        <v>68</v>
      </c>
      <c r="D78" s="18" t="s">
        <v>1127</v>
      </c>
      <c r="E78" s="18" t="s">
        <v>218</v>
      </c>
      <c r="F78" s="18" t="s">
        <v>71</v>
      </c>
      <c r="G78" s="18" t="s">
        <v>107</v>
      </c>
      <c r="H78" s="13"/>
      <c r="I78" s="13"/>
      <c r="J78" s="13"/>
      <c r="K78" s="13"/>
      <c r="L78" s="13"/>
      <c r="M78" s="13"/>
      <c r="N78" s="13"/>
    </row>
    <row r="79" spans="1:14" ht="12.7" customHeight="1" x14ac:dyDescent="0.4">
      <c r="A79" s="2"/>
      <c r="B79" s="394" t="s">
        <v>72</v>
      </c>
      <c r="C79" s="3" t="s">
        <v>907</v>
      </c>
      <c r="D79" s="152">
        <v>8.86</v>
      </c>
      <c r="E79" s="66">
        <v>557.42999999999995</v>
      </c>
      <c r="F79" s="435" t="s">
        <v>1275</v>
      </c>
      <c r="G79" s="435" t="s">
        <v>220</v>
      </c>
      <c r="H79"/>
      <c r="I79" s="53"/>
      <c r="J79" s="53"/>
      <c r="K79" s="53"/>
      <c r="L79" s="53"/>
      <c r="M79" s="53"/>
      <c r="N79" s="53"/>
    </row>
    <row r="80" spans="1:14" x14ac:dyDescent="0.4">
      <c r="A80" s="2"/>
      <c r="B80" s="394"/>
      <c r="C80" s="3" t="s">
        <v>765</v>
      </c>
      <c r="D80" s="151"/>
      <c r="E80" s="66"/>
      <c r="F80" s="436"/>
      <c r="G80" s="436"/>
      <c r="H80" s="53"/>
      <c r="I80" s="53"/>
      <c r="J80" s="53"/>
      <c r="K80" s="53"/>
      <c r="L80" s="53"/>
      <c r="M80" s="53"/>
      <c r="N80" s="53"/>
    </row>
    <row r="81" spans="1:14" ht="39.75" x14ac:dyDescent="0.4">
      <c r="A81" s="2"/>
      <c r="B81" s="394"/>
      <c r="C81" s="21" t="s">
        <v>908</v>
      </c>
      <c r="D81" s="151">
        <v>1.48</v>
      </c>
      <c r="E81" s="66">
        <v>-1.25</v>
      </c>
      <c r="F81" s="436"/>
      <c r="G81" s="436"/>
      <c r="H81" s="53"/>
      <c r="I81" s="53"/>
      <c r="J81" s="53"/>
      <c r="K81" s="53"/>
      <c r="L81" s="53"/>
      <c r="M81" s="53"/>
      <c r="N81" s="53"/>
    </row>
    <row r="82" spans="1:14" x14ac:dyDescent="0.4">
      <c r="A82" s="2"/>
      <c r="B82" s="394"/>
      <c r="C82" s="3" t="s">
        <v>74</v>
      </c>
      <c r="D82" s="276"/>
      <c r="E82" s="66">
        <v>-1.25</v>
      </c>
      <c r="F82" s="436"/>
      <c r="G82" s="436"/>
      <c r="H82" s="53"/>
      <c r="I82" s="53"/>
      <c r="J82" s="53"/>
      <c r="K82" s="53"/>
      <c r="L82" s="53"/>
      <c r="M82" s="53"/>
      <c r="N82" s="53"/>
    </row>
    <row r="83" spans="1:14" ht="26.5" x14ac:dyDescent="0.4">
      <c r="A83" s="2"/>
      <c r="B83" s="394" t="s">
        <v>75</v>
      </c>
      <c r="C83" s="3" t="s">
        <v>907</v>
      </c>
      <c r="D83" s="154">
        <v>11.51</v>
      </c>
      <c r="E83" s="70">
        <f>F66/E79</f>
        <v>14.072977772993919</v>
      </c>
      <c r="F83" s="436"/>
      <c r="G83" s="436"/>
      <c r="H83" s="179"/>
      <c r="I83" s="53"/>
      <c r="J83" s="53"/>
      <c r="K83" s="53"/>
      <c r="L83" s="53"/>
      <c r="M83" s="53"/>
      <c r="N83" s="53"/>
    </row>
    <row r="84" spans="1:14" x14ac:dyDescent="0.4">
      <c r="A84" s="2"/>
      <c r="B84" s="394"/>
      <c r="C84" s="3" t="s">
        <v>73</v>
      </c>
      <c r="D84" s="151"/>
      <c r="E84" s="66">
        <v>14.07</v>
      </c>
      <c r="F84" s="436"/>
      <c r="G84" s="436"/>
      <c r="H84" s="53"/>
      <c r="I84" s="53"/>
      <c r="J84" s="53"/>
      <c r="K84" s="53"/>
      <c r="L84" s="53"/>
      <c r="M84" s="53"/>
      <c r="N84" s="53"/>
    </row>
    <row r="85" spans="1:14" ht="39.75" x14ac:dyDescent="0.4">
      <c r="A85" s="2"/>
      <c r="B85" s="394"/>
      <c r="C85" s="21" t="s">
        <v>908</v>
      </c>
      <c r="D85" s="151">
        <v>27.53</v>
      </c>
      <c r="E85" s="66">
        <v>100.95</v>
      </c>
      <c r="F85" s="436"/>
      <c r="G85" s="436"/>
      <c r="H85" s="53"/>
      <c r="I85" s="53"/>
      <c r="J85" s="53"/>
      <c r="K85" s="53"/>
      <c r="L85" s="53"/>
      <c r="M85" s="53"/>
      <c r="N85" s="53"/>
    </row>
    <row r="86" spans="1:14" x14ac:dyDescent="0.4">
      <c r="A86" s="2"/>
      <c r="B86" s="394"/>
      <c r="C86" s="3" t="s">
        <v>74</v>
      </c>
      <c r="D86" s="276"/>
      <c r="E86" s="66">
        <v>100.95</v>
      </c>
      <c r="F86" s="436"/>
      <c r="G86" s="436"/>
      <c r="H86" s="53"/>
      <c r="I86" s="53"/>
      <c r="J86" s="53"/>
      <c r="K86" s="53"/>
      <c r="L86" s="53"/>
      <c r="M86" s="53"/>
      <c r="N86" s="53"/>
    </row>
    <row r="87" spans="1:14" ht="26.5" x14ac:dyDescent="0.4">
      <c r="A87" s="2"/>
      <c r="B87" s="394" t="s">
        <v>76</v>
      </c>
      <c r="C87" s="3" t="s">
        <v>907</v>
      </c>
      <c r="D87" s="277">
        <v>0.73109999999999997</v>
      </c>
      <c r="E87" s="231">
        <f>38317.4/40939.78</f>
        <v>0.93594543009268738</v>
      </c>
      <c r="F87" s="436"/>
      <c r="G87" s="436"/>
      <c r="H87" s="221"/>
      <c r="I87" s="53"/>
      <c r="J87" s="53"/>
      <c r="K87" s="53"/>
      <c r="L87" s="53"/>
      <c r="M87" s="53"/>
      <c r="N87" s="53"/>
    </row>
    <row r="88" spans="1:14" x14ac:dyDescent="0.4">
      <c r="A88" s="2"/>
      <c r="B88" s="394"/>
      <c r="C88" s="3" t="s">
        <v>73</v>
      </c>
      <c r="D88" s="151"/>
      <c r="E88" s="91">
        <v>0.93600000000000005</v>
      </c>
      <c r="F88" s="436"/>
      <c r="G88" s="436"/>
      <c r="H88" s="53"/>
      <c r="I88" s="53"/>
      <c r="J88" s="53"/>
      <c r="K88" s="53"/>
      <c r="L88" s="53"/>
      <c r="M88" s="53"/>
      <c r="N88" s="53"/>
    </row>
    <row r="89" spans="1:14" ht="39.75" x14ac:dyDescent="0.4">
      <c r="A89" s="2"/>
      <c r="B89" s="394"/>
      <c r="C89" s="21" t="s">
        <v>908</v>
      </c>
      <c r="D89" s="277">
        <v>2.0299999999999999E-2</v>
      </c>
      <c r="E89" s="66">
        <v>-1.27</v>
      </c>
      <c r="F89" s="436"/>
      <c r="G89" s="436"/>
      <c r="H89" s="53"/>
      <c r="I89" s="53"/>
      <c r="J89" s="53"/>
      <c r="K89" s="53"/>
      <c r="L89" s="53"/>
      <c r="M89" s="53"/>
      <c r="N89" s="53"/>
    </row>
    <row r="90" spans="1:14" x14ac:dyDescent="0.4">
      <c r="A90" s="2"/>
      <c r="B90" s="394"/>
      <c r="C90" s="3" t="s">
        <v>74</v>
      </c>
      <c r="D90" s="276"/>
      <c r="E90" s="66">
        <v>-1.27</v>
      </c>
      <c r="F90" s="436"/>
      <c r="G90" s="436"/>
      <c r="H90" s="53"/>
      <c r="I90" s="53"/>
      <c r="J90" s="53"/>
      <c r="K90" s="53"/>
      <c r="L90" s="53"/>
      <c r="M90" s="53"/>
      <c r="N90" s="53"/>
    </row>
    <row r="91" spans="1:14" ht="26.5" x14ac:dyDescent="0.4">
      <c r="A91" s="2"/>
      <c r="B91" s="394" t="s">
        <v>77</v>
      </c>
      <c r="C91" s="3" t="s">
        <v>907</v>
      </c>
      <c r="D91" s="152">
        <v>12.12</v>
      </c>
      <c r="E91" s="293">
        <f>(40939.78*100000)/6874000</f>
        <v>595.57433808553969</v>
      </c>
      <c r="F91" s="436"/>
      <c r="G91" s="436"/>
      <c r="H91" s="220"/>
      <c r="I91" s="53"/>
      <c r="J91" s="53"/>
      <c r="K91" s="53"/>
      <c r="L91" s="53"/>
      <c r="M91" s="53"/>
      <c r="N91" s="53"/>
    </row>
    <row r="92" spans="1:14" x14ac:dyDescent="0.4">
      <c r="A92" s="2"/>
      <c r="B92" s="394"/>
      <c r="C92" s="3" t="s">
        <v>73</v>
      </c>
      <c r="D92" s="151"/>
      <c r="E92" s="66">
        <v>595.57000000000005</v>
      </c>
      <c r="F92" s="436"/>
      <c r="G92" s="436"/>
      <c r="H92" s="53"/>
      <c r="I92" s="53"/>
      <c r="J92" s="53"/>
      <c r="K92" s="53"/>
      <c r="L92" s="53"/>
      <c r="M92" s="53"/>
      <c r="N92" s="53"/>
    </row>
    <row r="93" spans="1:14" ht="39.75" x14ac:dyDescent="0.4">
      <c r="A93" s="2"/>
      <c r="B93" s="411"/>
      <c r="C93" s="21" t="s">
        <v>908</v>
      </c>
      <c r="D93" s="151">
        <v>70.239999999999995</v>
      </c>
      <c r="E93" s="66">
        <v>50.48</v>
      </c>
      <c r="F93" s="436"/>
      <c r="G93" s="436"/>
      <c r="H93" s="53"/>
      <c r="I93" s="53"/>
      <c r="J93" s="53"/>
      <c r="K93" s="53"/>
      <c r="L93" s="53"/>
      <c r="M93" s="53"/>
      <c r="N93" s="53"/>
    </row>
    <row r="94" spans="1:14" x14ac:dyDescent="0.4">
      <c r="A94" s="2"/>
      <c r="B94" s="411"/>
      <c r="C94" s="3" t="s">
        <v>74</v>
      </c>
      <c r="D94" s="153"/>
      <c r="E94" s="66">
        <v>50.48</v>
      </c>
      <c r="F94" s="547"/>
      <c r="G94" s="436"/>
      <c r="H94" s="53"/>
      <c r="I94" s="53"/>
      <c r="J94" s="53"/>
      <c r="K94" s="53"/>
      <c r="L94" s="53"/>
      <c r="M94" s="53"/>
      <c r="N94" s="53"/>
    </row>
    <row r="95" spans="1:14" s="1" customFormat="1" x14ac:dyDescent="0.4">
      <c r="B95" s="412"/>
      <c r="C95" s="413"/>
      <c r="D95" s="413"/>
      <c r="E95" s="413"/>
      <c r="F95" s="413"/>
      <c r="G95" s="414"/>
    </row>
    <row r="96" spans="1:14" x14ac:dyDescent="0.4">
      <c r="A96" s="2"/>
      <c r="B96" s="415" t="s">
        <v>909</v>
      </c>
      <c r="C96" s="416"/>
      <c r="D96" s="416"/>
      <c r="E96" s="416"/>
      <c r="F96" s="416"/>
      <c r="G96" s="417"/>
      <c r="H96" s="53"/>
      <c r="I96" s="53"/>
      <c r="J96" s="53"/>
      <c r="K96" s="53"/>
      <c r="L96" s="53"/>
      <c r="M96" s="53"/>
      <c r="N96" s="53"/>
    </row>
    <row r="97" spans="1:14" ht="15.6" customHeight="1" x14ac:dyDescent="0.4">
      <c r="A97" s="2"/>
      <c r="B97" s="537" t="s">
        <v>1276</v>
      </c>
      <c r="C97" s="537"/>
      <c r="D97" s="537"/>
      <c r="E97" s="537"/>
      <c r="F97" s="537"/>
      <c r="G97" s="537"/>
      <c r="H97" s="53"/>
      <c r="I97" s="53"/>
      <c r="J97" s="53"/>
      <c r="K97" s="53"/>
      <c r="L97" s="53"/>
      <c r="M97" s="53"/>
      <c r="N97" s="53"/>
    </row>
    <row r="98" spans="1:14" x14ac:dyDescent="0.4">
      <c r="A98" s="2"/>
      <c r="B98" s="418" t="s">
        <v>85</v>
      </c>
      <c r="C98" s="419"/>
      <c r="D98" s="419"/>
      <c r="E98" s="419"/>
      <c r="F98" s="419"/>
      <c r="G98" s="420"/>
      <c r="H98" s="53"/>
      <c r="I98" s="53"/>
      <c r="J98" s="53"/>
      <c r="K98" s="53"/>
      <c r="L98" s="53"/>
      <c r="M98" s="53"/>
      <c r="N98" s="53"/>
    </row>
    <row r="99" spans="1:14" x14ac:dyDescent="0.4">
      <c r="A99" s="2"/>
      <c r="B99" s="363"/>
      <c r="C99" s="368"/>
      <c r="D99" s="368"/>
      <c r="E99" s="368"/>
      <c r="F99" s="368"/>
      <c r="G99" s="369"/>
      <c r="H99" s="53"/>
      <c r="I99" s="53"/>
      <c r="J99" s="53"/>
      <c r="K99" s="53"/>
      <c r="L99" s="53"/>
      <c r="M99" s="53"/>
      <c r="N99" s="53"/>
    </row>
    <row r="100" spans="1:14" x14ac:dyDescent="0.4">
      <c r="C100" s="407"/>
      <c r="D100" s="407"/>
      <c r="E100" s="407"/>
      <c r="F100" s="407"/>
      <c r="G100" s="407"/>
      <c r="H100" s="53"/>
      <c r="I100" s="53"/>
    </row>
    <row r="101" spans="1:14" x14ac:dyDescent="0.4">
      <c r="A101" s="9">
        <v>14</v>
      </c>
      <c r="B101" s="61" t="s">
        <v>78</v>
      </c>
      <c r="C101" s="356" t="s">
        <v>41</v>
      </c>
      <c r="D101" s="357"/>
      <c r="E101" s="357"/>
      <c r="F101" s="357"/>
      <c r="G101" s="408"/>
    </row>
    <row r="102" spans="1:14" x14ac:dyDescent="0.4">
      <c r="A102" s="23"/>
      <c r="C102" s="69"/>
      <c r="D102" s="69"/>
      <c r="E102" s="69"/>
      <c r="F102" s="69"/>
      <c r="G102" s="69"/>
    </row>
    <row r="105" spans="1:14" ht="12.7" customHeight="1" x14ac:dyDescent="0.4">
      <c r="B105" s="538" t="s">
        <v>910</v>
      </c>
      <c r="C105" s="538"/>
      <c r="D105" s="538"/>
      <c r="E105" s="538"/>
      <c r="F105" s="538"/>
      <c r="G105" s="538"/>
    </row>
    <row r="107" spans="1:14" ht="15.05" customHeight="1" x14ac:dyDescent="0.4">
      <c r="B107" s="539" t="s">
        <v>1233</v>
      </c>
      <c r="C107" s="539"/>
      <c r="D107" s="539"/>
      <c r="E107" s="539"/>
      <c r="F107" s="539"/>
      <c r="G107" s="539"/>
    </row>
    <row r="109" spans="1:14" x14ac:dyDescent="0.4">
      <c r="C109" s="230"/>
      <c r="D109" s="230"/>
    </row>
    <row r="110" spans="1:14" x14ac:dyDescent="0.4">
      <c r="D110" s="107"/>
      <c r="E110" s="107"/>
    </row>
    <row r="111" spans="1:14" x14ac:dyDescent="0.4">
      <c r="E111" s="107"/>
    </row>
  </sheetData>
  <sheetProtection algorithmName="SHA-512" hashValue="VN6Aaz2vITiUDoFx6KWWGoR/PyD0u0nLwPLyUVE8XgiWnqf34URuN61obIlKaax6UyZrKFbpC6V/fECp8KyYkQ==" saltValue="nt0Wcwto3LmH54SaE8oCYA==" spinCount="100000" sheet="1" objects="1" scenarios="1"/>
  <mergeCells count="69">
    <mergeCell ref="B98:G98"/>
    <mergeCell ref="B99:G99"/>
    <mergeCell ref="C100:G100"/>
    <mergeCell ref="C101:G101"/>
    <mergeCell ref="C33:E33"/>
    <mergeCell ref="C34:E34"/>
    <mergeCell ref="C35:E35"/>
    <mergeCell ref="B95:G95"/>
    <mergeCell ref="B96:G96"/>
    <mergeCell ref="B76:G76"/>
    <mergeCell ref="B79:B82"/>
    <mergeCell ref="F79:F94"/>
    <mergeCell ref="G79:G94"/>
    <mergeCell ref="B83:B86"/>
    <mergeCell ref="B87:B90"/>
    <mergeCell ref="B91:B94"/>
    <mergeCell ref="B71:N71"/>
    <mergeCell ref="C68:N68"/>
    <mergeCell ref="B69:N69"/>
    <mergeCell ref="B73:N73"/>
    <mergeCell ref="B74:N74"/>
    <mergeCell ref="E64:E65"/>
    <mergeCell ref="F64:H64"/>
    <mergeCell ref="I64:K64"/>
    <mergeCell ref="L64:N64"/>
    <mergeCell ref="B70:N70"/>
    <mergeCell ref="C21:E21"/>
    <mergeCell ref="A1:B1"/>
    <mergeCell ref="C5:E5"/>
    <mergeCell ref="C11:E11"/>
    <mergeCell ref="B17:E17"/>
    <mergeCell ref="C18:E18"/>
    <mergeCell ref="C19:E19"/>
    <mergeCell ref="C20:E20"/>
    <mergeCell ref="C3:E3"/>
    <mergeCell ref="C8:E8"/>
    <mergeCell ref="B6:E6"/>
    <mergeCell ref="B9:E9"/>
    <mergeCell ref="B12:E12"/>
    <mergeCell ref="C14:E14"/>
    <mergeCell ref="B15:E15"/>
    <mergeCell ref="B32:E32"/>
    <mergeCell ref="B38:E38"/>
    <mergeCell ref="B42:E42"/>
    <mergeCell ref="B44:E44"/>
    <mergeCell ref="B48:E48"/>
    <mergeCell ref="C39:E39"/>
    <mergeCell ref="C40:E40"/>
    <mergeCell ref="C22:E22"/>
    <mergeCell ref="B24:E24"/>
    <mergeCell ref="B25:E25"/>
    <mergeCell ref="D27:D30"/>
    <mergeCell ref="E27:E30"/>
    <mergeCell ref="B97:G97"/>
    <mergeCell ref="C41:E41"/>
    <mergeCell ref="C62:E62"/>
    <mergeCell ref="B105:G105"/>
    <mergeCell ref="B107:G107"/>
    <mergeCell ref="B51:B52"/>
    <mergeCell ref="C51:E52"/>
    <mergeCell ref="B50:E50"/>
    <mergeCell ref="B72:N72"/>
    <mergeCell ref="C53:E53"/>
    <mergeCell ref="C54:E54"/>
    <mergeCell ref="B56:E56"/>
    <mergeCell ref="C58:E58"/>
    <mergeCell ref="B64:B65"/>
    <mergeCell ref="C64:C65"/>
    <mergeCell ref="D64:D65"/>
  </mergeCells>
  <pageMargins left="0" right="0" top="0.42499999999999999" bottom="0.75" header="0.10625" footer="0.3"/>
  <pageSetup paperSize="5" scale="80" orientation="landscape" verticalDpi="1200" r:id="rId1"/>
  <rowBreaks count="2" manualBreakCount="2">
    <brk id="41" max="13" man="1"/>
    <brk id="71" max="1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sheetPr>
  <dimension ref="A1:N108"/>
  <sheetViews>
    <sheetView view="pageBreakPreview" topLeftCell="A48" zoomScale="79" zoomScaleNormal="90" workbookViewId="0">
      <selection activeCell="D28" sqref="D28:D31"/>
    </sheetView>
  </sheetViews>
  <sheetFormatPr defaultColWidth="8.84375" defaultRowHeight="13.25" x14ac:dyDescent="0.4"/>
  <cols>
    <col min="1" max="1" width="8.84375" style="8"/>
    <col min="2" max="2" width="40.84375" style="8" customWidth="1"/>
    <col min="3" max="3" width="38.07421875" style="8" customWidth="1"/>
    <col min="4" max="4" width="25.53515625" style="8" customWidth="1"/>
    <col min="5" max="5" width="15.07421875" style="8"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44" t="s">
        <v>1090</v>
      </c>
      <c r="D3" s="445"/>
      <c r="E3" s="358"/>
    </row>
    <row r="4" spans="1:5" x14ac:dyDescent="0.4">
      <c r="D4" s="5"/>
    </row>
    <row r="5" spans="1:5" x14ac:dyDescent="0.4">
      <c r="A5" s="36">
        <v>1</v>
      </c>
      <c r="B5" s="3" t="s">
        <v>3</v>
      </c>
      <c r="C5" s="458" t="s">
        <v>1091</v>
      </c>
      <c r="D5" s="458"/>
      <c r="E5" s="458"/>
    </row>
    <row r="6" spans="1:5" x14ac:dyDescent="0.4">
      <c r="A6" s="9"/>
      <c r="B6" s="480" t="s">
        <v>5</v>
      </c>
      <c r="C6" s="480"/>
      <c r="D6" s="480"/>
      <c r="E6" s="480"/>
    </row>
    <row r="7" spans="1:5" x14ac:dyDescent="0.4">
      <c r="A7" s="9"/>
      <c r="B7" s="11"/>
      <c r="D7" s="5"/>
    </row>
    <row r="8" spans="1:5" x14ac:dyDescent="0.4">
      <c r="A8" s="9">
        <v>2</v>
      </c>
      <c r="B8" s="3" t="s">
        <v>6</v>
      </c>
      <c r="C8" s="497" t="s">
        <v>911</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v>11.59</v>
      </c>
      <c r="D14" s="497"/>
      <c r="E14" s="497"/>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9.69E-2</v>
      </c>
      <c r="D18" s="367"/>
      <c r="E18" s="367"/>
      <c r="F18" s="15"/>
      <c r="G18" s="13"/>
      <c r="H18" s="13"/>
      <c r="I18" s="13"/>
      <c r="J18" s="13"/>
      <c r="K18" s="13"/>
      <c r="L18" s="13"/>
      <c r="M18" s="13"/>
      <c r="N18" s="13"/>
    </row>
    <row r="19" spans="1:14" ht="25.65" x14ac:dyDescent="0.4">
      <c r="A19" s="9"/>
      <c r="B19" s="14" t="s">
        <v>1043</v>
      </c>
      <c r="C19" s="367">
        <v>9.69E-2</v>
      </c>
      <c r="D19" s="367"/>
      <c r="E19" s="367"/>
      <c r="F19" s="15"/>
      <c r="G19" s="13"/>
      <c r="I19" s="13"/>
      <c r="J19" s="13"/>
      <c r="K19" s="13"/>
      <c r="L19" s="13"/>
      <c r="M19" s="13"/>
      <c r="N19" s="13"/>
    </row>
    <row r="20" spans="1:14" x14ac:dyDescent="0.4">
      <c r="A20" s="9"/>
      <c r="B20" s="14" t="s">
        <v>605</v>
      </c>
      <c r="C20" s="367">
        <v>0.1646</v>
      </c>
      <c r="D20" s="354"/>
      <c r="E20" s="354"/>
      <c r="F20" s="15"/>
      <c r="G20" s="13"/>
      <c r="H20" s="13"/>
      <c r="I20" s="13"/>
      <c r="J20" s="13"/>
      <c r="K20" s="13"/>
      <c r="L20" s="13"/>
      <c r="M20" s="13"/>
      <c r="N20" s="13"/>
    </row>
    <row r="21" spans="1:14" x14ac:dyDescent="0.4">
      <c r="A21" s="9"/>
      <c r="B21" s="14" t="s">
        <v>15</v>
      </c>
      <c r="C21" s="367">
        <v>0.161</v>
      </c>
      <c r="D21" s="354"/>
      <c r="E21" s="354"/>
      <c r="F21" s="15"/>
      <c r="G21" s="13"/>
      <c r="H21" s="13"/>
      <c r="I21" s="13"/>
      <c r="J21" s="13"/>
      <c r="K21" s="13"/>
      <c r="L21" s="13"/>
      <c r="M21" s="13"/>
      <c r="N21" s="13"/>
    </row>
    <row r="22" spans="1:14" x14ac:dyDescent="0.4">
      <c r="A22" s="9"/>
      <c r="B22" s="14" t="s">
        <v>16</v>
      </c>
      <c r="C22" s="550" t="s">
        <v>201</v>
      </c>
      <c r="D22" s="550"/>
      <c r="E22" s="550"/>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ht="12.7" customHeight="1" x14ac:dyDescent="0.4">
      <c r="A28" s="9"/>
      <c r="B28" s="19" t="s">
        <v>24</v>
      </c>
      <c r="C28" s="21">
        <v>939.81</v>
      </c>
      <c r="D28" s="540" t="s">
        <v>264</v>
      </c>
      <c r="E28" s="540" t="s">
        <v>203</v>
      </c>
      <c r="F28" s="15"/>
    </row>
    <row r="29" spans="1:14" x14ac:dyDescent="0.4">
      <c r="A29" s="9"/>
      <c r="B29" s="19" t="s">
        <v>25</v>
      </c>
      <c r="C29" s="21">
        <v>12.92</v>
      </c>
      <c r="D29" s="541"/>
      <c r="E29" s="541"/>
      <c r="F29" s="15"/>
    </row>
    <row r="30" spans="1:14" x14ac:dyDescent="0.4">
      <c r="A30" s="9"/>
      <c r="B30" s="19" t="s">
        <v>26</v>
      </c>
      <c r="C30" s="21">
        <v>260</v>
      </c>
      <c r="D30" s="541"/>
      <c r="E30" s="541"/>
      <c r="F30" s="15"/>
    </row>
    <row r="31" spans="1:14" x14ac:dyDescent="0.4">
      <c r="A31" s="9"/>
      <c r="B31" s="19" t="s">
        <v>27</v>
      </c>
      <c r="C31" s="21">
        <v>471.85</v>
      </c>
      <c r="D31" s="542"/>
      <c r="E31" s="542"/>
      <c r="F31" s="15"/>
    </row>
    <row r="32" spans="1:14" x14ac:dyDescent="0.4">
      <c r="A32" s="9"/>
      <c r="B32" s="13"/>
      <c r="C32" s="15"/>
      <c r="D32" s="15"/>
      <c r="E32" s="15"/>
      <c r="F32" s="15"/>
    </row>
    <row r="33" spans="1:10" ht="30.7" customHeight="1" x14ac:dyDescent="0.4">
      <c r="A33" s="9">
        <v>7</v>
      </c>
      <c r="B33" s="365" t="s">
        <v>28</v>
      </c>
      <c r="C33" s="365"/>
      <c r="D33" s="365"/>
      <c r="E33" s="365"/>
      <c r="F33" s="11"/>
      <c r="G33" s="11"/>
      <c r="H33" s="11"/>
      <c r="I33" s="11"/>
      <c r="J33" s="11"/>
    </row>
    <row r="34" spans="1:10" x14ac:dyDescent="0.4">
      <c r="A34" s="9"/>
      <c r="B34" s="17" t="s">
        <v>29</v>
      </c>
      <c r="C34" s="446" t="s">
        <v>30</v>
      </c>
      <c r="D34" s="446"/>
      <c r="E34" s="446"/>
      <c r="F34" s="13"/>
    </row>
    <row r="35" spans="1:10" x14ac:dyDescent="0.4">
      <c r="A35" s="9"/>
      <c r="B35" s="17" t="s">
        <v>31</v>
      </c>
      <c r="C35" s="446" t="s">
        <v>30</v>
      </c>
      <c r="D35" s="446"/>
      <c r="E35" s="446"/>
      <c r="F35" s="13"/>
    </row>
    <row r="36" spans="1:10" x14ac:dyDescent="0.4">
      <c r="A36" s="9"/>
      <c r="B36" s="17" t="s">
        <v>32</v>
      </c>
      <c r="C36" s="446" t="s">
        <v>201</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ht="26.3" customHeight="1" x14ac:dyDescent="0.4">
      <c r="A40" s="9"/>
      <c r="B40" s="17" t="s">
        <v>34</v>
      </c>
      <c r="C40" s="448" t="s">
        <v>1247</v>
      </c>
      <c r="D40" s="449"/>
      <c r="E40" s="450"/>
      <c r="F40" s="13"/>
    </row>
    <row r="41" spans="1:10" ht="17.25" customHeight="1" x14ac:dyDescent="0.4">
      <c r="A41" s="9"/>
      <c r="B41" s="17" t="s">
        <v>31</v>
      </c>
      <c r="C41" s="373" t="s">
        <v>1230</v>
      </c>
      <c r="D41" s="374"/>
      <c r="E41" s="375"/>
      <c r="F41" s="13"/>
    </row>
    <row r="42" spans="1:10" x14ac:dyDescent="0.4">
      <c r="A42" s="9"/>
      <c r="B42" s="17" t="s">
        <v>32</v>
      </c>
      <c r="C42" s="446" t="s">
        <v>1248</v>
      </c>
      <c r="D42" s="446"/>
      <c r="E42" s="446"/>
      <c r="F42" s="13"/>
    </row>
    <row r="43" spans="1:10" x14ac:dyDescent="0.4">
      <c r="A43" s="9"/>
      <c r="B43" s="363" t="s">
        <v>35</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51.25" x14ac:dyDescent="0.4">
      <c r="A46" s="24"/>
      <c r="B46" s="26" t="s">
        <v>37</v>
      </c>
      <c r="C46" s="27" t="s">
        <v>38</v>
      </c>
      <c r="D46" s="28" t="s">
        <v>39</v>
      </c>
      <c r="E46" s="27" t="s">
        <v>206</v>
      </c>
    </row>
    <row r="47" spans="1:10" ht="134.30000000000001" customHeight="1" x14ac:dyDescent="0.4">
      <c r="A47" s="29"/>
      <c r="B47" s="78" t="s">
        <v>912</v>
      </c>
      <c r="C47" s="78" t="s">
        <v>913</v>
      </c>
      <c r="D47" s="78" t="s">
        <v>913</v>
      </c>
      <c r="E47" s="117" t="s">
        <v>83</v>
      </c>
    </row>
    <row r="48" spans="1:10" x14ac:dyDescent="0.4">
      <c r="A48" s="31"/>
      <c r="B48" s="380"/>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383" t="s">
        <v>43</v>
      </c>
      <c r="C51" s="385" t="s">
        <v>1044</v>
      </c>
      <c r="D51" s="386"/>
      <c r="E51" s="387"/>
      <c r="K51" s="1"/>
    </row>
    <row r="52" spans="1:14" ht="46.5" customHeight="1" x14ac:dyDescent="0.4">
      <c r="A52" s="29"/>
      <c r="B52" s="384"/>
      <c r="C52" s="388"/>
      <c r="D52" s="389"/>
      <c r="E52" s="390"/>
      <c r="K52" s="1"/>
    </row>
    <row r="53" spans="1:14" ht="60.75" customHeight="1" x14ac:dyDescent="0.4">
      <c r="A53" s="24"/>
      <c r="B53" s="33" t="s">
        <v>44</v>
      </c>
      <c r="C53" s="391" t="s">
        <v>1104</v>
      </c>
      <c r="D53" s="391"/>
      <c r="E53" s="391"/>
    </row>
    <row r="54" spans="1:14" x14ac:dyDescent="0.4">
      <c r="A54" s="29"/>
      <c r="B54" s="33" t="s">
        <v>45</v>
      </c>
      <c r="C54" s="471" t="s">
        <v>46</v>
      </c>
      <c r="D54" s="472"/>
      <c r="E54" s="473"/>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1037</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11"/>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446" t="s">
        <v>914</v>
      </c>
      <c r="D61" s="446"/>
      <c r="E61" s="446"/>
      <c r="F61" s="44"/>
      <c r="G61" s="44"/>
      <c r="H61" s="15"/>
      <c r="I61" s="15"/>
      <c r="J61" s="15"/>
      <c r="K61" s="15"/>
      <c r="L61" s="15"/>
      <c r="M61" s="15"/>
      <c r="N61" s="15"/>
    </row>
    <row r="62" spans="1:14" x14ac:dyDescent="0.4">
      <c r="A62" s="9"/>
      <c r="B62" s="15"/>
      <c r="C62" s="15"/>
      <c r="D62" s="15"/>
      <c r="E62" s="15"/>
      <c r="F62" s="15"/>
      <c r="G62" s="44"/>
      <c r="H62" s="15"/>
      <c r="I62" s="15"/>
      <c r="J62" s="15"/>
      <c r="K62" s="15"/>
      <c r="L62" s="15"/>
      <c r="M62" s="15"/>
      <c r="N62" s="15"/>
    </row>
    <row r="63" spans="1:14" ht="30.05" customHeight="1" x14ac:dyDescent="0.4">
      <c r="A63" s="9"/>
      <c r="B63" s="365" t="s">
        <v>53</v>
      </c>
      <c r="C63" s="366" t="s">
        <v>915</v>
      </c>
      <c r="D63" s="366" t="s">
        <v>916</v>
      </c>
      <c r="E63" s="403" t="s">
        <v>917</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63</v>
      </c>
      <c r="D65" s="101">
        <v>105.25</v>
      </c>
      <c r="E65" s="101">
        <v>132.5</v>
      </c>
      <c r="F65" s="101">
        <v>89.96</v>
      </c>
      <c r="G65" s="101">
        <f>449.8/5</f>
        <v>89.960000000000008</v>
      </c>
      <c r="H65" s="101">
        <f>57/5</f>
        <v>11.4</v>
      </c>
      <c r="I65" s="101">
        <v>179.1</v>
      </c>
      <c r="J65" s="101">
        <f>489/5</f>
        <v>97.8</v>
      </c>
      <c r="K65" s="101">
        <v>91</v>
      </c>
      <c r="L65" s="101" t="s">
        <v>41</v>
      </c>
      <c r="M65" s="101" t="s">
        <v>41</v>
      </c>
      <c r="N65" s="101" t="s">
        <v>41</v>
      </c>
    </row>
    <row r="66" spans="1:14" ht="25.65" x14ac:dyDescent="0.4">
      <c r="A66" s="2"/>
      <c r="B66" s="17" t="s">
        <v>918</v>
      </c>
      <c r="C66" s="101">
        <v>16636.900000000001</v>
      </c>
      <c r="D66" s="101">
        <v>17853.2</v>
      </c>
      <c r="E66" s="101">
        <v>17503.349999999999</v>
      </c>
      <c r="F66" s="101">
        <v>17464.75</v>
      </c>
      <c r="G66" s="101">
        <v>18604.45</v>
      </c>
      <c r="H66" s="101">
        <v>14151.4</v>
      </c>
      <c r="I66" s="101">
        <v>17359.75</v>
      </c>
      <c r="J66" s="101">
        <v>18887.599999999999</v>
      </c>
      <c r="K66" s="101">
        <v>15183.4</v>
      </c>
      <c r="L66" s="45" t="s">
        <v>41</v>
      </c>
      <c r="M66" s="45" t="s">
        <v>41</v>
      </c>
      <c r="N66" s="45" t="s">
        <v>41</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551" t="s">
        <v>1092</v>
      </c>
      <c r="C68" s="545"/>
      <c r="D68" s="545"/>
      <c r="E68" s="545"/>
      <c r="F68" s="545"/>
      <c r="G68" s="545"/>
      <c r="H68" s="545"/>
      <c r="I68" s="545"/>
      <c r="J68" s="545"/>
      <c r="K68" s="545"/>
      <c r="L68" s="545"/>
      <c r="M68" s="545"/>
      <c r="N68" s="545"/>
    </row>
    <row r="69" spans="1:14" x14ac:dyDescent="0.4">
      <c r="A69" s="2"/>
      <c r="B69" s="480" t="s">
        <v>63</v>
      </c>
      <c r="C69" s="480"/>
      <c r="D69" s="480"/>
      <c r="E69" s="480"/>
      <c r="F69" s="480"/>
      <c r="G69" s="480"/>
      <c r="H69" s="480"/>
      <c r="I69" s="480"/>
      <c r="J69" s="480"/>
      <c r="K69" s="480"/>
      <c r="L69" s="480"/>
      <c r="M69" s="480"/>
      <c r="N69" s="480"/>
    </row>
    <row r="70" spans="1:14" s="1" customFormat="1" x14ac:dyDescent="0.4">
      <c r="B70" s="474" t="s">
        <v>64</v>
      </c>
      <c r="C70" s="474"/>
      <c r="D70" s="474"/>
      <c r="E70" s="474"/>
      <c r="F70" s="474"/>
      <c r="G70" s="474"/>
      <c r="H70" s="474"/>
      <c r="I70" s="474"/>
      <c r="J70" s="474"/>
      <c r="K70" s="474"/>
      <c r="L70" s="474"/>
      <c r="M70" s="474"/>
      <c r="N70" s="474"/>
    </row>
    <row r="71" spans="1:14" x14ac:dyDescent="0.4">
      <c r="A71" s="2"/>
      <c r="B71" s="359" t="s">
        <v>358</v>
      </c>
      <c r="C71" s="359"/>
      <c r="D71" s="359"/>
      <c r="E71" s="359"/>
      <c r="F71" s="359"/>
      <c r="G71" s="359"/>
      <c r="H71" s="359"/>
      <c r="I71" s="359"/>
      <c r="J71" s="359"/>
      <c r="K71" s="359"/>
      <c r="L71" s="359"/>
      <c r="M71" s="359"/>
      <c r="N71" s="359"/>
    </row>
    <row r="72" spans="1:14" x14ac:dyDescent="0.4">
      <c r="A72" s="2"/>
      <c r="B72" s="359" t="s">
        <v>65</v>
      </c>
      <c r="C72" s="359"/>
      <c r="D72" s="359"/>
      <c r="E72" s="359"/>
      <c r="F72" s="359"/>
      <c r="G72" s="359"/>
      <c r="H72" s="359"/>
      <c r="I72" s="359"/>
      <c r="J72" s="359"/>
      <c r="K72" s="359"/>
      <c r="L72" s="359"/>
      <c r="M72" s="359"/>
      <c r="N72" s="359"/>
    </row>
    <row r="73" spans="1:14" x14ac:dyDescent="0.4">
      <c r="A73" s="2"/>
      <c r="B73" s="49"/>
      <c r="C73" s="49"/>
      <c r="D73" s="49"/>
      <c r="E73" s="49"/>
      <c r="F73" s="49"/>
      <c r="G73" s="13"/>
      <c r="H73" s="13"/>
      <c r="I73" s="13"/>
      <c r="J73" s="13"/>
      <c r="K73" s="13"/>
      <c r="L73" s="13"/>
      <c r="M73" s="13"/>
      <c r="N73" s="13"/>
    </row>
    <row r="74" spans="1:14" ht="29.3" customHeight="1" x14ac:dyDescent="0.4">
      <c r="A74" s="9">
        <v>13</v>
      </c>
      <c r="B74" s="405" t="s">
        <v>66</v>
      </c>
      <c r="C74" s="406"/>
      <c r="D74" s="406"/>
      <c r="E74" s="406"/>
      <c r="F74" s="406"/>
      <c r="G74" s="376"/>
      <c r="H74" s="11"/>
      <c r="I74" s="11"/>
      <c r="J74" s="11"/>
      <c r="K74" s="11"/>
      <c r="L74" s="11"/>
      <c r="M74" s="11"/>
      <c r="N74" s="11"/>
    </row>
    <row r="75" spans="1:14" x14ac:dyDescent="0.4">
      <c r="A75" s="9"/>
      <c r="C75" s="15"/>
      <c r="D75" s="15"/>
      <c r="E75" s="15"/>
      <c r="F75" s="15"/>
      <c r="G75" s="15"/>
      <c r="H75" s="15"/>
      <c r="I75" s="15"/>
      <c r="J75" s="15"/>
      <c r="K75" s="15"/>
      <c r="L75" s="15"/>
      <c r="M75" s="15"/>
      <c r="N75" s="15"/>
    </row>
    <row r="76" spans="1:14" ht="25.65" x14ac:dyDescent="0.4">
      <c r="A76" s="2"/>
      <c r="B76" s="50" t="s">
        <v>67</v>
      </c>
      <c r="C76" s="18" t="s">
        <v>68</v>
      </c>
      <c r="D76" s="18" t="s">
        <v>1127</v>
      </c>
      <c r="E76" s="18" t="s">
        <v>218</v>
      </c>
      <c r="F76" s="18" t="s">
        <v>71</v>
      </c>
      <c r="G76" s="18" t="s">
        <v>107</v>
      </c>
      <c r="H76" s="13"/>
      <c r="I76" s="13"/>
      <c r="J76" s="13"/>
      <c r="K76" s="13"/>
      <c r="L76" s="13"/>
      <c r="M76" s="13"/>
      <c r="N76" s="13"/>
    </row>
    <row r="77" spans="1:14" ht="25.55" customHeight="1" x14ac:dyDescent="0.4">
      <c r="A77" s="2"/>
      <c r="B77" s="394" t="s">
        <v>72</v>
      </c>
      <c r="C77" s="21" t="s">
        <v>919</v>
      </c>
      <c r="D77" s="151">
        <v>0.8</v>
      </c>
      <c r="E77" s="52">
        <v>1.18</v>
      </c>
      <c r="F77" s="435" t="s">
        <v>326</v>
      </c>
      <c r="G77" s="435" t="s">
        <v>220</v>
      </c>
      <c r="H77" s="53"/>
      <c r="I77" s="53"/>
      <c r="J77" s="53"/>
      <c r="K77" s="53"/>
      <c r="L77" s="53"/>
      <c r="M77" s="53"/>
      <c r="N77" s="53"/>
    </row>
    <row r="78" spans="1:14" x14ac:dyDescent="0.4">
      <c r="A78" s="2"/>
      <c r="B78" s="394"/>
      <c r="C78" s="3" t="s">
        <v>765</v>
      </c>
      <c r="D78" s="151"/>
      <c r="E78" s="52"/>
      <c r="F78" s="436"/>
      <c r="G78" s="436"/>
      <c r="H78" s="53"/>
      <c r="I78" s="53"/>
      <c r="J78" s="53"/>
      <c r="K78" s="53"/>
      <c r="L78" s="53"/>
      <c r="M78" s="53"/>
      <c r="N78" s="53"/>
    </row>
    <row r="79" spans="1:14" ht="26.5" x14ac:dyDescent="0.4">
      <c r="A79" s="2"/>
      <c r="B79" s="394"/>
      <c r="C79" s="21" t="s">
        <v>920</v>
      </c>
      <c r="D79" s="151">
        <v>4.9000000000000004</v>
      </c>
      <c r="E79" s="52">
        <v>4.72</v>
      </c>
      <c r="F79" s="436"/>
      <c r="G79" s="436"/>
      <c r="H79" s="53"/>
      <c r="I79" s="53"/>
      <c r="J79" s="53"/>
      <c r="K79" s="53"/>
      <c r="L79" s="53"/>
      <c r="M79" s="53"/>
      <c r="N79" s="53"/>
    </row>
    <row r="80" spans="1:14" x14ac:dyDescent="0.4">
      <c r="A80" s="2"/>
      <c r="B80" s="394"/>
      <c r="C80" s="3" t="s">
        <v>74</v>
      </c>
      <c r="D80" s="276"/>
      <c r="E80" s="52">
        <v>4.72</v>
      </c>
      <c r="F80" s="436"/>
      <c r="G80" s="436"/>
      <c r="H80" s="53"/>
      <c r="I80" s="53"/>
      <c r="J80" s="53"/>
      <c r="K80" s="53"/>
      <c r="L80" s="53"/>
      <c r="M80" s="53"/>
      <c r="N80" s="53"/>
    </row>
    <row r="81" spans="1:14" ht="26.5" x14ac:dyDescent="0.4">
      <c r="A81" s="2"/>
      <c r="B81" s="394" t="s">
        <v>75</v>
      </c>
      <c r="C81" s="21" t="s">
        <v>921</v>
      </c>
      <c r="D81" s="154">
        <v>81.25</v>
      </c>
      <c r="E81" s="55">
        <v>381.49</v>
      </c>
      <c r="F81" s="436"/>
      <c r="G81" s="436"/>
      <c r="H81" s="53"/>
      <c r="I81" s="53"/>
      <c r="J81" s="53"/>
      <c r="K81" s="53"/>
      <c r="L81" s="53"/>
      <c r="M81" s="53"/>
      <c r="N81" s="53"/>
    </row>
    <row r="82" spans="1:14" x14ac:dyDescent="0.4">
      <c r="A82" s="2"/>
      <c r="B82" s="394"/>
      <c r="C82" s="3" t="s">
        <v>73</v>
      </c>
      <c r="D82" s="151"/>
      <c r="E82" s="52"/>
      <c r="F82" s="436"/>
      <c r="G82" s="436"/>
      <c r="H82" s="53"/>
      <c r="I82" s="53"/>
      <c r="J82" s="53"/>
      <c r="K82" s="53"/>
      <c r="L82" s="53"/>
      <c r="M82" s="53"/>
      <c r="N82" s="53"/>
    </row>
    <row r="83" spans="1:14" ht="26.5" x14ac:dyDescent="0.4">
      <c r="A83" s="2"/>
      <c r="B83" s="394"/>
      <c r="C83" s="21" t="s">
        <v>920</v>
      </c>
      <c r="D83" s="151">
        <v>26.15</v>
      </c>
      <c r="E83" s="55">
        <v>35.049999999999997</v>
      </c>
      <c r="F83" s="436"/>
      <c r="G83" s="436"/>
      <c r="H83" s="53"/>
      <c r="I83" s="53"/>
      <c r="J83" s="53"/>
      <c r="K83" s="53"/>
      <c r="L83" s="53"/>
      <c r="M83" s="53"/>
      <c r="N83" s="53"/>
    </row>
    <row r="84" spans="1:14" x14ac:dyDescent="0.4">
      <c r="A84" s="2"/>
      <c r="B84" s="394"/>
      <c r="C84" s="3" t="s">
        <v>74</v>
      </c>
      <c r="D84" s="276"/>
      <c r="E84" s="52">
        <v>35.049999999999997</v>
      </c>
      <c r="F84" s="436"/>
      <c r="G84" s="436"/>
      <c r="H84" s="53"/>
      <c r="I84" s="53"/>
      <c r="J84" s="53"/>
      <c r="K84" s="53"/>
      <c r="L84" s="53"/>
      <c r="M84" s="53"/>
      <c r="N84" s="53"/>
    </row>
    <row r="85" spans="1:14" ht="26.5" x14ac:dyDescent="0.4">
      <c r="A85" s="2"/>
      <c r="B85" s="394" t="s">
        <v>76</v>
      </c>
      <c r="C85" s="3" t="s">
        <v>922</v>
      </c>
      <c r="D85" s="277">
        <v>7.2800000000000004E-2</v>
      </c>
      <c r="E85" s="149">
        <f>25.83 /668.69</f>
        <v>3.8627764734032205E-2</v>
      </c>
      <c r="F85" s="436"/>
      <c r="G85" s="436"/>
      <c r="H85" s="53"/>
      <c r="I85" s="53"/>
      <c r="J85" s="53"/>
      <c r="K85" s="53"/>
      <c r="L85" s="53"/>
      <c r="M85" s="53"/>
      <c r="N85" s="53"/>
    </row>
    <row r="86" spans="1:14" x14ac:dyDescent="0.4">
      <c r="A86" s="2"/>
      <c r="B86" s="394"/>
      <c r="C86" s="3" t="s">
        <v>73</v>
      </c>
      <c r="D86" s="151"/>
      <c r="E86" s="52"/>
      <c r="F86" s="436"/>
      <c r="G86" s="436"/>
      <c r="H86" s="53"/>
      <c r="I86" s="53"/>
      <c r="J86" s="53"/>
      <c r="K86" s="53"/>
      <c r="L86" s="53"/>
      <c r="M86" s="53"/>
      <c r="N86" s="53"/>
    </row>
    <row r="87" spans="1:14" ht="26.5" x14ac:dyDescent="0.4">
      <c r="A87" s="2"/>
      <c r="B87" s="394"/>
      <c r="C87" s="21" t="s">
        <v>920</v>
      </c>
      <c r="D87" s="277">
        <v>0.1095</v>
      </c>
      <c r="E87" s="56">
        <v>0.1133</v>
      </c>
      <c r="F87" s="436"/>
      <c r="G87" s="436"/>
      <c r="H87" s="53"/>
      <c r="I87" s="53"/>
      <c r="J87" s="53"/>
      <c r="K87" s="53"/>
      <c r="L87" s="53"/>
      <c r="M87" s="53"/>
      <c r="N87" s="53"/>
    </row>
    <row r="88" spans="1:14" x14ac:dyDescent="0.4">
      <c r="A88" s="2"/>
      <c r="B88" s="394"/>
      <c r="C88" s="3" t="s">
        <v>74</v>
      </c>
      <c r="D88" s="276"/>
      <c r="E88" s="300">
        <v>0.1133</v>
      </c>
      <c r="F88" s="436"/>
      <c r="G88" s="436"/>
      <c r="H88" s="53"/>
      <c r="I88" s="53"/>
      <c r="J88" s="53"/>
      <c r="K88" s="53"/>
      <c r="L88" s="53"/>
      <c r="M88" s="53"/>
      <c r="N88" s="53"/>
    </row>
    <row r="89" spans="1:14" ht="26.5" x14ac:dyDescent="0.4">
      <c r="A89" s="2"/>
      <c r="B89" s="394" t="s">
        <v>77</v>
      </c>
      <c r="C89" s="3" t="s">
        <v>922</v>
      </c>
      <c r="D89" s="152">
        <v>10.97</v>
      </c>
      <c r="E89" s="55">
        <f>668.69*100000 /2600000</f>
        <v>25.718846153846158</v>
      </c>
      <c r="F89" s="436"/>
      <c r="G89" s="436"/>
      <c r="H89" s="53"/>
      <c r="I89" s="53"/>
      <c r="J89" s="53"/>
      <c r="K89" s="53"/>
      <c r="L89" s="53"/>
      <c r="M89" s="53"/>
      <c r="N89" s="53"/>
    </row>
    <row r="90" spans="1:14" x14ac:dyDescent="0.4">
      <c r="A90" s="2"/>
      <c r="B90" s="394"/>
      <c r="C90" s="3" t="s">
        <v>73</v>
      </c>
      <c r="D90" s="151"/>
      <c r="E90" s="52"/>
      <c r="F90" s="436"/>
      <c r="G90" s="436"/>
      <c r="H90" s="53"/>
      <c r="I90" s="53"/>
      <c r="J90" s="53"/>
      <c r="K90" s="53"/>
      <c r="L90" s="53"/>
      <c r="M90" s="53"/>
      <c r="N90" s="53"/>
    </row>
    <row r="91" spans="1:14" ht="26.5" x14ac:dyDescent="0.4">
      <c r="A91" s="2"/>
      <c r="B91" s="411"/>
      <c r="C91" s="21" t="s">
        <v>923</v>
      </c>
      <c r="D91" s="151">
        <v>44.88</v>
      </c>
      <c r="E91" s="55">
        <v>2.19</v>
      </c>
      <c r="F91" s="436"/>
      <c r="G91" s="436"/>
      <c r="H91" s="53"/>
      <c r="I91" s="53"/>
      <c r="J91" s="53"/>
      <c r="K91" s="53"/>
      <c r="L91" s="53"/>
      <c r="M91" s="53"/>
      <c r="N91" s="53"/>
    </row>
    <row r="92" spans="1:14" x14ac:dyDescent="0.4">
      <c r="A92" s="2"/>
      <c r="B92" s="411"/>
      <c r="C92" s="3" t="s">
        <v>74</v>
      </c>
      <c r="D92" s="153"/>
      <c r="E92" s="52">
        <v>2.19</v>
      </c>
      <c r="F92" s="436"/>
      <c r="G92" s="436"/>
      <c r="H92" s="53"/>
      <c r="I92" s="53"/>
      <c r="J92" s="53"/>
      <c r="K92" s="53"/>
      <c r="L92" s="53"/>
      <c r="M92" s="53"/>
      <c r="N92" s="53"/>
    </row>
    <row r="93" spans="1:14" s="1" customFormat="1" x14ac:dyDescent="0.4">
      <c r="B93" s="412"/>
      <c r="C93" s="413"/>
      <c r="D93" s="413"/>
      <c r="E93" s="413"/>
      <c r="F93" s="413"/>
      <c r="G93" s="414"/>
    </row>
    <row r="94" spans="1:14" x14ac:dyDescent="0.4">
      <c r="A94" s="2"/>
      <c r="B94" s="415" t="s">
        <v>1246</v>
      </c>
      <c r="C94" s="416"/>
      <c r="D94" s="416"/>
      <c r="E94" s="416"/>
      <c r="F94" s="416"/>
      <c r="G94" s="417"/>
      <c r="H94" s="53"/>
      <c r="I94" s="53"/>
      <c r="J94" s="53"/>
      <c r="K94" s="53"/>
      <c r="L94" s="53"/>
      <c r="M94" s="53"/>
      <c r="N94" s="53"/>
    </row>
    <row r="95" spans="1:14" x14ac:dyDescent="0.4">
      <c r="A95" s="2"/>
      <c r="B95" s="418" t="s">
        <v>85</v>
      </c>
      <c r="C95" s="419"/>
      <c r="D95" s="419"/>
      <c r="E95" s="419"/>
      <c r="F95" s="419"/>
      <c r="G95" s="420"/>
      <c r="H95" s="53"/>
      <c r="I95" s="53"/>
      <c r="J95" s="53"/>
      <c r="K95" s="53"/>
      <c r="L95" s="53"/>
      <c r="M95" s="53"/>
      <c r="N95" s="53"/>
    </row>
    <row r="96" spans="1:14" x14ac:dyDescent="0.4">
      <c r="A96" s="2"/>
      <c r="B96" s="363"/>
      <c r="C96" s="368"/>
      <c r="D96" s="368"/>
      <c r="E96" s="368"/>
      <c r="F96" s="368"/>
      <c r="G96" s="369"/>
      <c r="H96" s="53"/>
      <c r="I96" s="53"/>
      <c r="J96" s="53"/>
      <c r="K96" s="53"/>
      <c r="L96" s="53"/>
      <c r="M96" s="53"/>
      <c r="N96" s="53"/>
    </row>
    <row r="97" spans="1:9" x14ac:dyDescent="0.4">
      <c r="C97" s="407"/>
      <c r="D97" s="407"/>
      <c r="E97" s="407"/>
      <c r="F97" s="407"/>
      <c r="G97" s="407"/>
      <c r="H97" s="53"/>
      <c r="I97" s="53"/>
    </row>
    <row r="98" spans="1:9" x14ac:dyDescent="0.4">
      <c r="A98" s="9">
        <v>14</v>
      </c>
      <c r="B98" s="61" t="s">
        <v>78</v>
      </c>
      <c r="C98" s="458" t="s">
        <v>41</v>
      </c>
      <c r="D98" s="458"/>
      <c r="E98" s="458"/>
      <c r="F98" s="458"/>
      <c r="G98" s="458"/>
    </row>
    <row r="99" spans="1:9" x14ac:dyDescent="0.4">
      <c r="A99" s="23"/>
      <c r="B99" s="448"/>
      <c r="C99" s="449"/>
      <c r="D99" s="449"/>
      <c r="E99" s="449"/>
      <c r="F99" s="449"/>
      <c r="G99" s="450"/>
    </row>
    <row r="102" spans="1:9" ht="12.7" customHeight="1" x14ac:dyDescent="0.4">
      <c r="B102" s="548" t="s">
        <v>924</v>
      </c>
      <c r="C102" s="549"/>
      <c r="D102" s="549"/>
      <c r="E102" s="549"/>
      <c r="F102" s="549"/>
      <c r="G102" s="549"/>
      <c r="H102" s="295"/>
    </row>
    <row r="104" spans="1:9" ht="25.55" customHeight="1" x14ac:dyDescent="0.4">
      <c r="B104" s="539" t="s">
        <v>1232</v>
      </c>
      <c r="C104" s="539"/>
      <c r="D104" s="539"/>
      <c r="E104" s="539"/>
      <c r="F104" s="539"/>
      <c r="G104" s="539"/>
    </row>
    <row r="106" spans="1:9" x14ac:dyDescent="0.4">
      <c r="C106" s="230"/>
      <c r="D106" s="230"/>
    </row>
    <row r="107" spans="1:9" x14ac:dyDescent="0.4">
      <c r="D107" s="107"/>
      <c r="E107" s="107"/>
    </row>
    <row r="108" spans="1:9" x14ac:dyDescent="0.4">
      <c r="C108" s="230"/>
      <c r="D108" s="230"/>
      <c r="E108" s="107"/>
    </row>
  </sheetData>
  <sheetProtection algorithmName="SHA-512" hashValue="43k5Tyu4YAQZz8xbXut05hmJJifLhLIDYAl1AgkCAgl5MSXNbN0eCHXHQYapR/1y//zo4MIoFB/selHsJrkz/A==" saltValue="/q5e/+h294QaZuLKRFYRfA==" spinCount="100000" sheet="1" objects="1" scenarios="1"/>
  <mergeCells count="68">
    <mergeCell ref="C98:G98"/>
    <mergeCell ref="B93:G93"/>
    <mergeCell ref="B94:G94"/>
    <mergeCell ref="B95:G95"/>
    <mergeCell ref="B96:G96"/>
    <mergeCell ref="C97:G97"/>
    <mergeCell ref="B77:B80"/>
    <mergeCell ref="F77:F92"/>
    <mergeCell ref="G77:G92"/>
    <mergeCell ref="B81:B84"/>
    <mergeCell ref="B85:B88"/>
    <mergeCell ref="B89:B92"/>
    <mergeCell ref="B69:N69"/>
    <mergeCell ref="C67:N67"/>
    <mergeCell ref="B71:N71"/>
    <mergeCell ref="B72:N72"/>
    <mergeCell ref="B74:G74"/>
    <mergeCell ref="C34:E34"/>
    <mergeCell ref="C35:E35"/>
    <mergeCell ref="C36:E36"/>
    <mergeCell ref="B70:N70"/>
    <mergeCell ref="C53:E53"/>
    <mergeCell ref="C54:E54"/>
    <mergeCell ref="B55:E55"/>
    <mergeCell ref="C57:E57"/>
    <mergeCell ref="B63:B64"/>
    <mergeCell ref="C63:C64"/>
    <mergeCell ref="D63:D64"/>
    <mergeCell ref="E63:E64"/>
    <mergeCell ref="F63:H63"/>
    <mergeCell ref="I63:K63"/>
    <mergeCell ref="L63:N63"/>
    <mergeCell ref="B68:N68"/>
    <mergeCell ref="B9:E9"/>
    <mergeCell ref="D28:D31"/>
    <mergeCell ref="E28:E31"/>
    <mergeCell ref="B17:E17"/>
    <mergeCell ref="C18:E18"/>
    <mergeCell ref="C19:E19"/>
    <mergeCell ref="C20:E20"/>
    <mergeCell ref="C21:E21"/>
    <mergeCell ref="C22:E22"/>
    <mergeCell ref="B25:E25"/>
    <mergeCell ref="B26:E26"/>
    <mergeCell ref="B12:E12"/>
    <mergeCell ref="C14:E14"/>
    <mergeCell ref="B15:E15"/>
    <mergeCell ref="A1:B1"/>
    <mergeCell ref="C3:E3"/>
    <mergeCell ref="C5:E5"/>
    <mergeCell ref="B6:E6"/>
    <mergeCell ref="C8:E8"/>
    <mergeCell ref="C61:E61"/>
    <mergeCell ref="B99:G99"/>
    <mergeCell ref="B104:G104"/>
    <mergeCell ref="B102:G102"/>
    <mergeCell ref="C11:E11"/>
    <mergeCell ref="B51:B52"/>
    <mergeCell ref="C51:E52"/>
    <mergeCell ref="B33:E33"/>
    <mergeCell ref="B39:E39"/>
    <mergeCell ref="C40:E40"/>
    <mergeCell ref="C41:E41"/>
    <mergeCell ref="C42:E42"/>
    <mergeCell ref="B43:E43"/>
    <mergeCell ref="B45:E45"/>
    <mergeCell ref="B48:E48"/>
    <mergeCell ref="B50:E50"/>
  </mergeCells>
  <pageMargins left="0.7" right="0.7" top="0.75" bottom="0.75" header="0.3" footer="0.3"/>
  <pageSetup paperSize="5" scale="74" orientation="landscape" verticalDpi="1200" r:id="rId1"/>
  <rowBreaks count="2" manualBreakCount="2">
    <brk id="44" max="16383" man="1"/>
    <brk id="73"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sheetPr>
  <dimension ref="A1:N109"/>
  <sheetViews>
    <sheetView view="pageBreakPreview" topLeftCell="A64" zoomScale="60" zoomScaleNormal="100" zoomScalePageLayoutView="50" workbookViewId="0">
      <selection activeCell="F81" sqref="F81"/>
    </sheetView>
  </sheetViews>
  <sheetFormatPr defaultRowHeight="14.6" x14ac:dyDescent="0.4"/>
  <cols>
    <col min="1" max="1" width="6.4609375" bestFit="1" customWidth="1"/>
    <col min="2" max="2" width="46" bestFit="1" customWidth="1"/>
    <col min="3" max="3" width="19.69140625" customWidth="1"/>
    <col min="4" max="4" width="19.69140625" style="198" customWidth="1"/>
    <col min="5" max="5" width="10.07421875" customWidth="1"/>
    <col min="6" max="6" width="13.3046875" customWidth="1"/>
    <col min="7" max="7" width="10.84375" customWidth="1"/>
    <col min="8" max="8" width="10" bestFit="1" customWidth="1"/>
    <col min="9" max="9" width="10.07421875" bestFit="1" customWidth="1"/>
    <col min="10" max="10" width="10.84375" customWidth="1"/>
    <col min="11" max="11" width="9.3046875"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25.55" customHeight="1" x14ac:dyDescent="0.4">
      <c r="A3" s="2" t="s">
        <v>1</v>
      </c>
      <c r="B3" s="3" t="s">
        <v>2</v>
      </c>
      <c r="C3" s="497" t="s">
        <v>925</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ht="15.05" customHeight="1" x14ac:dyDescent="0.4">
      <c r="A5" s="36">
        <v>1</v>
      </c>
      <c r="B5" s="3" t="s">
        <v>3</v>
      </c>
      <c r="C5" s="497" t="s">
        <v>702</v>
      </c>
      <c r="D5" s="497"/>
      <c r="E5" s="497"/>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926</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64.5" customHeight="1" x14ac:dyDescent="0.4">
      <c r="A11" s="9">
        <v>3</v>
      </c>
      <c r="B11" s="3" t="s">
        <v>7</v>
      </c>
      <c r="C11" s="497" t="s">
        <v>1109</v>
      </c>
      <c r="D11" s="497"/>
      <c r="E11" s="497"/>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1115</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5.0099999999999999E-2</v>
      </c>
      <c r="D18" s="367"/>
      <c r="E18" s="367"/>
      <c r="F18" s="15"/>
      <c r="G18" s="13"/>
      <c r="H18" s="13"/>
      <c r="I18" s="13"/>
      <c r="J18" s="13"/>
      <c r="K18" s="13"/>
      <c r="L18" s="13"/>
      <c r="M18" s="13"/>
      <c r="N18" s="13"/>
    </row>
    <row r="19" spans="1:14" ht="25.65" x14ac:dyDescent="0.4">
      <c r="A19" s="9"/>
      <c r="B19" s="14" t="s">
        <v>1045</v>
      </c>
      <c r="C19" s="367">
        <v>0.09</v>
      </c>
      <c r="D19" s="367"/>
      <c r="E19" s="367"/>
      <c r="F19" s="15"/>
      <c r="G19" s="13"/>
      <c r="H19" s="8"/>
      <c r="I19" s="13"/>
      <c r="J19" s="13"/>
      <c r="K19" s="13"/>
      <c r="L19" s="13"/>
      <c r="M19" s="13"/>
      <c r="N19" s="13"/>
    </row>
    <row r="20" spans="1:14" x14ac:dyDescent="0.4">
      <c r="A20" s="9"/>
      <c r="B20" s="14" t="s">
        <v>605</v>
      </c>
      <c r="C20" s="367">
        <v>0.02</v>
      </c>
      <c r="D20" s="354"/>
      <c r="E20" s="354"/>
      <c r="F20" s="15"/>
      <c r="G20" s="13"/>
      <c r="H20" s="13"/>
      <c r="I20" s="13"/>
      <c r="J20" s="13"/>
      <c r="K20" s="13"/>
      <c r="L20" s="13"/>
      <c r="M20" s="13"/>
      <c r="N20" s="13"/>
    </row>
    <row r="21" spans="1:14" x14ac:dyDescent="0.4">
      <c r="A21" s="9"/>
      <c r="B21" s="14" t="s">
        <v>15</v>
      </c>
      <c r="C21" s="367">
        <v>1.2500000000000001E-2</v>
      </c>
      <c r="D21" s="354"/>
      <c r="E21" s="354"/>
      <c r="F21" s="15"/>
      <c r="G21" s="13"/>
      <c r="H21" s="13"/>
      <c r="I21" s="13"/>
      <c r="J21" s="13"/>
      <c r="K21" s="13"/>
      <c r="L21" s="13"/>
      <c r="M21" s="13"/>
      <c r="N21" s="13"/>
    </row>
    <row r="22" spans="1:14" x14ac:dyDescent="0.4">
      <c r="A22" s="9"/>
      <c r="B22" s="16" t="s">
        <v>16</v>
      </c>
      <c r="C22" s="447" t="s">
        <v>201</v>
      </c>
      <c r="D22" s="447"/>
      <c r="E22" s="447"/>
      <c r="F22" s="15"/>
      <c r="G22" s="13"/>
      <c r="H22" s="13"/>
      <c r="I22" s="13"/>
      <c r="J22" s="13"/>
      <c r="K22" s="13"/>
      <c r="L22" s="13"/>
      <c r="M22" s="13"/>
      <c r="N22" s="13"/>
    </row>
    <row r="23" spans="1:14" x14ac:dyDescent="0.4">
      <c r="A23" s="9"/>
      <c r="B23" s="363" t="s">
        <v>709</v>
      </c>
      <c r="C23" s="368"/>
      <c r="D23" s="368"/>
      <c r="E23" s="369"/>
      <c r="F23" s="15"/>
      <c r="G23" s="13"/>
      <c r="H23" s="13"/>
      <c r="I23" s="13"/>
      <c r="J23" s="13"/>
      <c r="K23" s="13"/>
      <c r="L23" s="13"/>
      <c r="M23" s="13"/>
      <c r="N23" s="13"/>
    </row>
    <row r="24" spans="1:14" x14ac:dyDescent="0.4">
      <c r="A24" s="9"/>
      <c r="B24" s="8"/>
      <c r="C24" s="13"/>
      <c r="D24" s="169"/>
      <c r="E24" s="13"/>
      <c r="F24" s="15"/>
      <c r="G24" s="13"/>
      <c r="H24" s="13"/>
      <c r="I24" s="13"/>
      <c r="J24" s="13"/>
      <c r="K24" s="13"/>
      <c r="L24" s="13"/>
      <c r="M24" s="13"/>
      <c r="N24" s="13"/>
    </row>
    <row r="25" spans="1:14" x14ac:dyDescent="0.4">
      <c r="A25" s="9"/>
      <c r="B25" s="15"/>
      <c r="C25" s="15"/>
      <c r="D25" s="170"/>
      <c r="E25" s="15"/>
      <c r="F25" s="15"/>
      <c r="G25" s="13"/>
      <c r="H25" s="13"/>
      <c r="I25" s="13"/>
      <c r="J25" s="13"/>
      <c r="K25" s="13"/>
      <c r="L25" s="13"/>
      <c r="M25" s="13"/>
      <c r="N25" s="13"/>
    </row>
    <row r="26" spans="1:14" x14ac:dyDescent="0.4">
      <c r="A26" s="9">
        <v>6</v>
      </c>
      <c r="B26" s="365" t="s">
        <v>1086</v>
      </c>
      <c r="C26" s="365"/>
      <c r="D26" s="365"/>
      <c r="E26" s="365"/>
      <c r="F26" s="11"/>
      <c r="G26" s="11"/>
      <c r="H26" s="13"/>
      <c r="I26" s="11"/>
      <c r="J26" s="11"/>
      <c r="K26" s="8"/>
      <c r="L26" s="8"/>
      <c r="M26" s="8"/>
      <c r="N26" s="8"/>
    </row>
    <row r="27" spans="1:14" x14ac:dyDescent="0.4">
      <c r="A27" s="9"/>
      <c r="B27" s="370" t="s">
        <v>19</v>
      </c>
      <c r="C27" s="371"/>
      <c r="D27" s="371"/>
      <c r="E27" s="372"/>
      <c r="F27" s="15"/>
      <c r="G27" s="8"/>
      <c r="H27" s="8"/>
      <c r="I27" s="8"/>
      <c r="J27" s="8"/>
      <c r="K27" s="8"/>
      <c r="L27" s="8"/>
      <c r="M27" s="8"/>
      <c r="N27" s="8"/>
    </row>
    <row r="28" spans="1:14" x14ac:dyDescent="0.4">
      <c r="A28" s="9"/>
      <c r="B28" s="17" t="s">
        <v>20</v>
      </c>
      <c r="C28" s="18" t="s">
        <v>262</v>
      </c>
      <c r="D28" s="171" t="s">
        <v>263</v>
      </c>
      <c r="E28" s="18" t="s">
        <v>23</v>
      </c>
      <c r="F28" s="15"/>
      <c r="G28" s="8"/>
      <c r="H28" s="8"/>
      <c r="I28" s="8"/>
      <c r="J28" s="8"/>
      <c r="K28" s="8"/>
      <c r="L28" s="8"/>
      <c r="M28" s="8"/>
      <c r="N28" s="8"/>
    </row>
    <row r="29" spans="1:14" ht="15.05" customHeight="1" x14ac:dyDescent="0.4">
      <c r="A29" s="9"/>
      <c r="B29" s="19" t="s">
        <v>24</v>
      </c>
      <c r="C29" s="21">
        <v>3973.5</v>
      </c>
      <c r="D29" s="298">
        <v>5188.76</v>
      </c>
      <c r="E29" s="540" t="s">
        <v>203</v>
      </c>
      <c r="F29" s="15"/>
      <c r="G29" s="8"/>
      <c r="H29" s="8"/>
      <c r="I29" s="8"/>
      <c r="J29" s="8"/>
      <c r="K29" s="8"/>
      <c r="L29" s="8"/>
      <c r="M29" s="8"/>
      <c r="N29" s="8"/>
    </row>
    <row r="30" spans="1:14" x14ac:dyDescent="0.4">
      <c r="A30" s="9"/>
      <c r="B30" s="19" t="s">
        <v>25</v>
      </c>
      <c r="C30" s="21">
        <v>1605.16</v>
      </c>
      <c r="D30" s="298">
        <v>1571.01</v>
      </c>
      <c r="E30" s="541"/>
      <c r="F30" s="15"/>
      <c r="G30" s="8"/>
      <c r="H30" s="8"/>
      <c r="I30" s="8"/>
      <c r="J30" s="8"/>
      <c r="K30" s="8"/>
      <c r="L30" s="8"/>
      <c r="M30" s="8"/>
      <c r="N30" s="8"/>
    </row>
    <row r="31" spans="1:14" x14ac:dyDescent="0.4">
      <c r="A31" s="9"/>
      <c r="B31" s="19" t="s">
        <v>26</v>
      </c>
      <c r="C31" s="21">
        <v>1200.3</v>
      </c>
      <c r="D31" s="298">
        <v>1200.3</v>
      </c>
      <c r="E31" s="541"/>
      <c r="F31" s="15"/>
      <c r="G31" s="8"/>
      <c r="H31" s="8"/>
      <c r="I31" s="8"/>
      <c r="J31" s="8"/>
      <c r="K31" s="8"/>
      <c r="L31" s="8"/>
      <c r="M31" s="8"/>
      <c r="N31" s="8"/>
    </row>
    <row r="32" spans="1:14" x14ac:dyDescent="0.4">
      <c r="A32" s="9"/>
      <c r="B32" s="19" t="s">
        <v>27</v>
      </c>
      <c r="C32" s="21">
        <v>4510.1499999999996</v>
      </c>
      <c r="D32" s="298">
        <v>6079.44</v>
      </c>
      <c r="E32" s="542"/>
      <c r="F32" s="15"/>
      <c r="G32" s="8"/>
      <c r="H32" s="8"/>
      <c r="I32" s="8"/>
      <c r="J32" s="8"/>
      <c r="K32" s="8"/>
      <c r="L32" s="8"/>
      <c r="M32" s="8"/>
      <c r="N32" s="8"/>
    </row>
    <row r="33" spans="1:14" x14ac:dyDescent="0.4">
      <c r="A33" s="9"/>
      <c r="B33" s="363" t="s">
        <v>709</v>
      </c>
      <c r="C33" s="368"/>
      <c r="D33" s="368"/>
      <c r="E33" s="369"/>
      <c r="F33" s="15"/>
      <c r="G33" s="8"/>
      <c r="H33" s="8"/>
      <c r="I33" s="8"/>
      <c r="J33" s="8"/>
      <c r="K33" s="8"/>
      <c r="L33" s="8"/>
      <c r="M33" s="8"/>
      <c r="N33" s="8"/>
    </row>
    <row r="34" spans="1:14" x14ac:dyDescent="0.4">
      <c r="A34" s="9"/>
      <c r="B34" s="13"/>
      <c r="C34" s="15"/>
      <c r="D34" s="170"/>
      <c r="E34" s="15"/>
      <c r="F34" s="15"/>
      <c r="G34" s="8"/>
      <c r="H34" s="8"/>
      <c r="I34" s="8"/>
      <c r="J34" s="8"/>
      <c r="K34" s="8"/>
      <c r="L34" s="8"/>
      <c r="M34" s="8"/>
      <c r="N34" s="8"/>
    </row>
    <row r="35" spans="1:14" x14ac:dyDescent="0.4">
      <c r="A35" s="9">
        <v>7</v>
      </c>
      <c r="B35" s="365" t="s">
        <v>28</v>
      </c>
      <c r="C35" s="365"/>
      <c r="D35" s="365"/>
      <c r="E35" s="365"/>
      <c r="F35" s="11"/>
      <c r="G35" s="11"/>
      <c r="H35" s="11"/>
      <c r="I35" s="11"/>
      <c r="J35" s="11"/>
      <c r="K35" s="8"/>
      <c r="L35" s="8"/>
      <c r="M35" s="8"/>
      <c r="N35" s="8"/>
    </row>
    <row r="36" spans="1:14" ht="15.8" customHeight="1" x14ac:dyDescent="0.4">
      <c r="A36" s="9"/>
      <c r="B36" s="17" t="s">
        <v>29</v>
      </c>
      <c r="C36" s="446" t="s">
        <v>30</v>
      </c>
      <c r="D36" s="446"/>
      <c r="E36" s="446"/>
      <c r="F36" s="13"/>
      <c r="G36" s="8"/>
      <c r="H36" s="8"/>
      <c r="I36" s="8"/>
      <c r="J36" s="8"/>
      <c r="K36" s="8"/>
      <c r="L36" s="8"/>
      <c r="M36" s="8"/>
      <c r="N36" s="8"/>
    </row>
    <row r="37" spans="1:14" ht="15.8" customHeight="1" x14ac:dyDescent="0.4">
      <c r="A37" s="9"/>
      <c r="B37" s="17" t="s">
        <v>31</v>
      </c>
      <c r="C37" s="446" t="s">
        <v>30</v>
      </c>
      <c r="D37" s="446"/>
      <c r="E37" s="446"/>
      <c r="F37" s="13"/>
      <c r="G37" s="8"/>
      <c r="H37" s="8"/>
      <c r="I37" s="8"/>
      <c r="J37" s="8"/>
      <c r="K37" s="8"/>
      <c r="L37" s="8"/>
      <c r="M37" s="8"/>
      <c r="N37" s="8"/>
    </row>
    <row r="38" spans="1:14" ht="15.8" customHeight="1" x14ac:dyDescent="0.4">
      <c r="A38" s="9"/>
      <c r="B38" s="22" t="s">
        <v>32</v>
      </c>
      <c r="C38" s="540" t="s">
        <v>201</v>
      </c>
      <c r="D38" s="540"/>
      <c r="E38" s="540"/>
      <c r="F38" s="13"/>
      <c r="G38" s="8"/>
      <c r="H38" s="8"/>
      <c r="I38" s="8"/>
      <c r="J38" s="8"/>
      <c r="K38" s="8"/>
      <c r="L38" s="8"/>
      <c r="M38" s="8"/>
      <c r="N38" s="8"/>
    </row>
    <row r="39" spans="1:14" ht="15.05" customHeight="1" x14ac:dyDescent="0.4">
      <c r="A39" s="9"/>
      <c r="B39" s="480" t="s">
        <v>559</v>
      </c>
      <c r="C39" s="480"/>
      <c r="D39" s="480"/>
      <c r="E39" s="480"/>
      <c r="F39" s="13"/>
      <c r="G39" s="8"/>
      <c r="H39" s="8"/>
      <c r="I39" s="8"/>
      <c r="J39" s="8"/>
      <c r="K39" s="8"/>
      <c r="L39" s="8"/>
      <c r="M39" s="8"/>
      <c r="N39" s="8"/>
    </row>
    <row r="40" spans="1:14" x14ac:dyDescent="0.4">
      <c r="A40" s="9"/>
      <c r="B40" s="8"/>
      <c r="C40" s="13"/>
      <c r="D40" s="169"/>
      <c r="E40" s="13"/>
      <c r="F40" s="13"/>
      <c r="G40" s="8"/>
      <c r="H40" s="8"/>
      <c r="I40" s="8"/>
      <c r="J40" s="8"/>
      <c r="K40" s="8"/>
      <c r="L40" s="8"/>
      <c r="M40" s="8"/>
      <c r="N40" s="8"/>
    </row>
    <row r="41" spans="1:14" x14ac:dyDescent="0.4">
      <c r="A41" s="9"/>
      <c r="B41" s="15"/>
      <c r="C41" s="13"/>
      <c r="D41" s="169"/>
      <c r="E41" s="13"/>
      <c r="F41" s="13"/>
      <c r="G41" s="8"/>
      <c r="H41" s="8"/>
      <c r="I41" s="8"/>
      <c r="J41" s="8"/>
      <c r="K41" s="8"/>
      <c r="L41" s="8"/>
      <c r="M41" s="8"/>
      <c r="N41" s="8"/>
    </row>
    <row r="42" spans="1:14" x14ac:dyDescent="0.4">
      <c r="A42" s="9">
        <v>8</v>
      </c>
      <c r="B42" s="365" t="s">
        <v>1084</v>
      </c>
      <c r="C42" s="365"/>
      <c r="D42" s="365"/>
      <c r="E42" s="365"/>
      <c r="F42" s="11"/>
      <c r="G42" s="11"/>
      <c r="H42" s="11"/>
      <c r="I42" s="11"/>
      <c r="J42" s="11"/>
      <c r="K42" s="8"/>
      <c r="L42" s="8"/>
      <c r="M42" s="8"/>
      <c r="N42" s="8"/>
    </row>
    <row r="43" spans="1:14" ht="15.05" x14ac:dyDescent="0.45">
      <c r="A43" s="9"/>
      <c r="B43" s="17" t="s">
        <v>34</v>
      </c>
      <c r="C43" s="373" t="s">
        <v>730</v>
      </c>
      <c r="D43" s="374"/>
      <c r="E43" s="375"/>
      <c r="F43" s="182"/>
      <c r="G43" s="8"/>
      <c r="H43" s="8"/>
      <c r="I43" s="8"/>
      <c r="J43" s="8"/>
      <c r="K43" s="8"/>
      <c r="L43" s="8"/>
      <c r="M43" s="8"/>
      <c r="N43" s="8"/>
    </row>
    <row r="44" spans="1:14" ht="46.5" customHeight="1" x14ac:dyDescent="0.4">
      <c r="A44" s="9"/>
      <c r="B44" s="17" t="s">
        <v>31</v>
      </c>
      <c r="C44" s="373" t="s">
        <v>1229</v>
      </c>
      <c r="D44" s="374"/>
      <c r="E44" s="375"/>
      <c r="F44" s="13"/>
      <c r="G44" s="8"/>
      <c r="H44" s="8"/>
      <c r="I44" s="8"/>
      <c r="J44" s="8"/>
      <c r="K44" s="8"/>
      <c r="L44" s="8"/>
      <c r="M44" s="8"/>
      <c r="N44" s="8"/>
    </row>
    <row r="45" spans="1:14" x14ac:dyDescent="0.4">
      <c r="A45" s="9"/>
      <c r="B45" s="17" t="s">
        <v>32</v>
      </c>
      <c r="C45" s="446" t="s">
        <v>1228</v>
      </c>
      <c r="D45" s="446"/>
      <c r="E45" s="446"/>
      <c r="F45" s="13"/>
      <c r="G45" s="8"/>
      <c r="H45" s="8"/>
      <c r="I45" s="8"/>
      <c r="J45" s="8"/>
      <c r="K45" s="8"/>
      <c r="L45" s="8"/>
      <c r="M45" s="8"/>
      <c r="N45" s="8"/>
    </row>
    <row r="46" spans="1:14" x14ac:dyDescent="0.4">
      <c r="A46" s="9"/>
      <c r="B46" s="363" t="s">
        <v>848</v>
      </c>
      <c r="C46" s="368"/>
      <c r="D46" s="368"/>
      <c r="E46" s="369"/>
      <c r="F46" s="13"/>
      <c r="G46" s="8"/>
      <c r="H46" s="8"/>
      <c r="I46" s="8"/>
      <c r="J46" s="8"/>
      <c r="K46" s="8"/>
      <c r="L46" s="8"/>
      <c r="M46" s="8"/>
      <c r="N46" s="8"/>
    </row>
    <row r="47" spans="1:14" x14ac:dyDescent="0.4">
      <c r="A47" s="2"/>
      <c r="B47" s="8"/>
      <c r="C47" s="8"/>
      <c r="D47" s="173"/>
      <c r="E47" s="13"/>
      <c r="F47" s="8"/>
      <c r="G47" s="8"/>
      <c r="H47" s="8"/>
      <c r="I47" s="8"/>
      <c r="J47" s="8"/>
      <c r="K47" s="8"/>
      <c r="L47" s="8"/>
      <c r="M47" s="8"/>
      <c r="N47" s="8"/>
    </row>
    <row r="48" spans="1:14" x14ac:dyDescent="0.4">
      <c r="A48" s="24">
        <v>9</v>
      </c>
      <c r="B48" s="553" t="s">
        <v>1085</v>
      </c>
      <c r="C48" s="366"/>
      <c r="D48" s="366"/>
      <c r="E48" s="366"/>
      <c r="F48" s="25"/>
      <c r="G48" s="11"/>
      <c r="H48" s="11"/>
      <c r="I48" s="11"/>
      <c r="J48" s="8"/>
      <c r="K48" s="8"/>
      <c r="L48" s="8"/>
      <c r="M48" s="8"/>
      <c r="N48" s="8"/>
    </row>
    <row r="49" spans="1:14" ht="51.05" customHeight="1" x14ac:dyDescent="0.4">
      <c r="A49" s="24"/>
      <c r="B49" s="27" t="s">
        <v>37</v>
      </c>
      <c r="C49" s="515" t="s">
        <v>38</v>
      </c>
      <c r="D49" s="515"/>
      <c r="E49" s="515"/>
      <c r="F49" s="515"/>
      <c r="G49" s="565" t="s">
        <v>39</v>
      </c>
      <c r="H49" s="565"/>
      <c r="I49" s="565"/>
      <c r="J49" s="565"/>
      <c r="K49" s="515" t="s">
        <v>206</v>
      </c>
      <c r="L49" s="515"/>
      <c r="M49" s="515"/>
      <c r="N49" s="8"/>
    </row>
    <row r="50" spans="1:14" ht="95.3" customHeight="1" x14ac:dyDescent="0.4">
      <c r="A50" s="29"/>
      <c r="B50" s="78" t="s">
        <v>307</v>
      </c>
      <c r="C50" s="506" t="s">
        <v>1282</v>
      </c>
      <c r="D50" s="506"/>
      <c r="E50" s="506"/>
      <c r="F50" s="506"/>
      <c r="G50" s="497" t="s">
        <v>1283</v>
      </c>
      <c r="H50" s="497"/>
      <c r="I50" s="497"/>
      <c r="J50" s="497"/>
      <c r="K50" s="516" t="s">
        <v>83</v>
      </c>
      <c r="L50" s="516"/>
      <c r="M50" s="516"/>
      <c r="N50" s="8"/>
    </row>
    <row r="51" spans="1:14" x14ac:dyDescent="0.4">
      <c r="A51" s="31"/>
      <c r="B51" s="554" t="s">
        <v>927</v>
      </c>
      <c r="C51" s="554"/>
      <c r="D51" s="554"/>
      <c r="E51" s="554"/>
      <c r="F51" s="15"/>
      <c r="G51" s="15"/>
      <c r="H51" s="15"/>
      <c r="I51" s="8"/>
      <c r="J51" s="8"/>
      <c r="K51" s="8"/>
      <c r="L51" s="8"/>
      <c r="M51" s="8"/>
      <c r="N51" s="8"/>
    </row>
    <row r="52" spans="1:14" x14ac:dyDescent="0.4">
      <c r="A52" s="32"/>
      <c r="B52" s="62"/>
      <c r="C52" s="23"/>
      <c r="D52" s="173"/>
      <c r="E52" s="23"/>
      <c r="F52" s="15"/>
      <c r="G52" s="15"/>
      <c r="H52" s="15"/>
      <c r="I52" s="15"/>
      <c r="J52" s="8"/>
      <c r="K52" s="8"/>
      <c r="L52" s="8"/>
      <c r="M52" s="8"/>
      <c r="N52" s="8"/>
    </row>
    <row r="53" spans="1:14" x14ac:dyDescent="0.4">
      <c r="A53" s="24">
        <v>10</v>
      </c>
      <c r="B53" s="376" t="s">
        <v>1085</v>
      </c>
      <c r="C53" s="366"/>
      <c r="D53" s="366"/>
      <c r="E53" s="366"/>
      <c r="F53" s="15"/>
      <c r="G53" s="15"/>
      <c r="H53" s="15"/>
      <c r="I53" s="8"/>
      <c r="J53" s="8"/>
      <c r="K53" s="8"/>
      <c r="L53" s="8"/>
      <c r="M53" s="8"/>
      <c r="N53" s="8"/>
    </row>
    <row r="54" spans="1:14" ht="41.3" customHeight="1" x14ac:dyDescent="0.4">
      <c r="A54" s="29"/>
      <c r="B54" s="452" t="s">
        <v>43</v>
      </c>
      <c r="C54" s="500" t="s">
        <v>1284</v>
      </c>
      <c r="D54" s="500"/>
      <c r="E54" s="500"/>
      <c r="F54" s="500"/>
      <c r="G54" s="500"/>
      <c r="H54" s="500"/>
      <c r="I54" s="500"/>
      <c r="J54" s="500"/>
      <c r="K54" s="1"/>
      <c r="L54" s="8"/>
      <c r="M54" s="8"/>
      <c r="N54" s="8"/>
    </row>
    <row r="55" spans="1:14" ht="28.5" customHeight="1" x14ac:dyDescent="0.4">
      <c r="A55" s="29"/>
      <c r="B55" s="552"/>
      <c r="C55" s="500"/>
      <c r="D55" s="500"/>
      <c r="E55" s="500"/>
      <c r="F55" s="500"/>
      <c r="G55" s="500"/>
      <c r="H55" s="500"/>
      <c r="I55" s="500"/>
      <c r="J55" s="500"/>
      <c r="K55" s="1"/>
      <c r="L55" s="8"/>
      <c r="M55" s="8"/>
      <c r="N55" s="8"/>
    </row>
    <row r="56" spans="1:14" ht="67.5" customHeight="1" x14ac:dyDescent="0.4">
      <c r="A56" s="24"/>
      <c r="B56" s="243" t="s">
        <v>44</v>
      </c>
      <c r="C56" s="391" t="s">
        <v>1285</v>
      </c>
      <c r="D56" s="391"/>
      <c r="E56" s="391"/>
      <c r="F56" s="391"/>
      <c r="G56" s="391"/>
      <c r="H56" s="391"/>
      <c r="I56" s="391"/>
      <c r="J56" s="391"/>
      <c r="K56" s="8"/>
      <c r="L56" s="8"/>
      <c r="M56" s="8"/>
      <c r="N56" s="8"/>
    </row>
    <row r="57" spans="1:14" x14ac:dyDescent="0.4">
      <c r="A57" s="29"/>
      <c r="B57" s="33" t="s">
        <v>45</v>
      </c>
      <c r="C57" s="555" t="s">
        <v>46</v>
      </c>
      <c r="D57" s="556"/>
      <c r="E57" s="557"/>
      <c r="F57" s="8"/>
      <c r="G57" s="8"/>
      <c r="H57" s="8"/>
      <c r="I57" s="8"/>
      <c r="J57" s="8"/>
      <c r="K57" s="34"/>
      <c r="L57" s="8"/>
      <c r="M57" s="8"/>
      <c r="N57" s="8"/>
    </row>
    <row r="58" spans="1:14" x14ac:dyDescent="0.4">
      <c r="A58" s="29"/>
      <c r="B58" s="380" t="s">
        <v>927</v>
      </c>
      <c r="C58" s="381"/>
      <c r="D58" s="381"/>
      <c r="E58" s="382"/>
      <c r="F58" s="8"/>
      <c r="G58" s="8"/>
      <c r="H58" s="8"/>
      <c r="I58" s="8"/>
      <c r="J58" s="8"/>
      <c r="K58" s="34"/>
      <c r="L58" s="8"/>
      <c r="M58" s="8"/>
      <c r="N58" s="8"/>
    </row>
    <row r="59" spans="1:14" x14ac:dyDescent="0.4">
      <c r="A59" s="35" t="s">
        <v>47</v>
      </c>
      <c r="B59" s="392" t="s">
        <v>48</v>
      </c>
      <c r="C59" s="392"/>
      <c r="D59" s="392"/>
      <c r="E59" s="392"/>
      <c r="F59" s="63"/>
      <c r="G59" s="63"/>
      <c r="H59" s="63"/>
      <c r="I59" s="63"/>
      <c r="J59" s="63"/>
      <c r="K59" s="63"/>
      <c r="L59" s="63"/>
      <c r="M59" s="63"/>
      <c r="N59" s="63"/>
    </row>
    <row r="60" spans="1:14" x14ac:dyDescent="0.4">
      <c r="A60" s="40"/>
      <c r="B60" s="41"/>
      <c r="C60" s="42"/>
      <c r="D60" s="175"/>
      <c r="E60" s="42"/>
      <c r="F60" s="42"/>
      <c r="G60" s="8"/>
      <c r="H60" s="8"/>
      <c r="I60" s="8"/>
      <c r="J60" s="8"/>
      <c r="K60" s="8"/>
      <c r="L60" s="8"/>
      <c r="M60" s="8"/>
      <c r="N60" s="8"/>
    </row>
    <row r="61" spans="1:14" x14ac:dyDescent="0.4">
      <c r="A61" s="9">
        <v>11</v>
      </c>
      <c r="B61" s="3" t="s">
        <v>49</v>
      </c>
      <c r="C61" s="393" t="s">
        <v>851</v>
      </c>
      <c r="D61" s="393"/>
      <c r="E61" s="393"/>
      <c r="F61" s="11"/>
      <c r="G61" s="11"/>
      <c r="H61" s="43"/>
      <c r="I61" s="11"/>
      <c r="J61" s="11"/>
      <c r="K61" s="8"/>
      <c r="L61" s="8"/>
      <c r="M61" s="8"/>
      <c r="N61" s="8"/>
    </row>
    <row r="62" spans="1:14" x14ac:dyDescent="0.4">
      <c r="A62" s="9">
        <v>12</v>
      </c>
      <c r="B62" s="11" t="s">
        <v>51</v>
      </c>
      <c r="C62" s="11"/>
      <c r="D62" s="176"/>
      <c r="E62" s="43"/>
      <c r="F62" s="43"/>
      <c r="G62" s="11"/>
      <c r="H62" s="11"/>
      <c r="I62" s="11"/>
      <c r="J62" s="11"/>
      <c r="K62" s="11"/>
      <c r="L62" s="11"/>
      <c r="M62" s="11"/>
      <c r="N62" s="11"/>
    </row>
    <row r="63" spans="1:14" x14ac:dyDescent="0.4">
      <c r="A63" s="9"/>
      <c r="B63" s="17" t="s">
        <v>52</v>
      </c>
      <c r="C63" s="19" t="s">
        <v>928</v>
      </c>
      <c r="D63" s="170"/>
      <c r="E63" s="15"/>
      <c r="F63" s="44"/>
      <c r="G63" s="44"/>
      <c r="H63" s="15"/>
      <c r="I63" s="118"/>
      <c r="J63" s="15"/>
      <c r="K63" s="15"/>
      <c r="L63" s="15"/>
      <c r="M63" s="15"/>
      <c r="N63" s="15"/>
    </row>
    <row r="64" spans="1:14" x14ac:dyDescent="0.4">
      <c r="A64" s="9"/>
      <c r="B64" s="15"/>
      <c r="C64" s="15"/>
      <c r="D64" s="236"/>
      <c r="E64" s="118"/>
      <c r="F64" s="15"/>
      <c r="G64" s="15"/>
      <c r="H64" s="15"/>
      <c r="I64" s="118"/>
      <c r="J64" s="15"/>
      <c r="K64" s="15"/>
      <c r="L64" s="15"/>
      <c r="M64" s="15"/>
      <c r="N64" s="15"/>
    </row>
    <row r="65" spans="1:14" x14ac:dyDescent="0.4">
      <c r="A65" s="9"/>
      <c r="B65" s="365" t="s">
        <v>53</v>
      </c>
      <c r="C65" s="366" t="s">
        <v>929</v>
      </c>
      <c r="D65" s="558" t="s">
        <v>271</v>
      </c>
      <c r="E65" s="403" t="s">
        <v>232</v>
      </c>
      <c r="F65" s="395" t="s">
        <v>626</v>
      </c>
      <c r="G65" s="396"/>
      <c r="H65" s="397"/>
      <c r="I65" s="398" t="s">
        <v>55</v>
      </c>
      <c r="J65" s="398"/>
      <c r="K65" s="398"/>
      <c r="L65" s="398" t="s">
        <v>56</v>
      </c>
      <c r="M65" s="398"/>
      <c r="N65" s="398"/>
    </row>
    <row r="66" spans="1:14" ht="38.450000000000003" x14ac:dyDescent="0.4">
      <c r="A66" s="2"/>
      <c r="B66" s="365"/>
      <c r="C66" s="402"/>
      <c r="D66" s="559"/>
      <c r="E66" s="404"/>
      <c r="F66" s="17" t="s">
        <v>57</v>
      </c>
      <c r="G66" s="17" t="s">
        <v>58</v>
      </c>
      <c r="H66" s="17" t="s">
        <v>59</v>
      </c>
      <c r="I66" s="17" t="s">
        <v>60</v>
      </c>
      <c r="J66" s="17" t="s">
        <v>58</v>
      </c>
      <c r="K66" s="17" t="s">
        <v>59</v>
      </c>
      <c r="L66" s="17" t="s">
        <v>60</v>
      </c>
      <c r="M66" s="17" t="s">
        <v>58</v>
      </c>
      <c r="N66" s="17" t="s">
        <v>59</v>
      </c>
    </row>
    <row r="67" spans="1:14" x14ac:dyDescent="0.4">
      <c r="A67" s="2"/>
      <c r="B67" s="17" t="s">
        <v>61</v>
      </c>
      <c r="C67" s="284">
        <v>189.55</v>
      </c>
      <c r="D67" s="284">
        <v>244.05</v>
      </c>
      <c r="E67" s="101">
        <v>310.45</v>
      </c>
      <c r="F67" s="101">
        <v>361</v>
      </c>
      <c r="G67" s="101">
        <v>478.15</v>
      </c>
      <c r="H67" s="101">
        <v>170.65</v>
      </c>
      <c r="I67" s="101">
        <v>278.14999999999998</v>
      </c>
      <c r="J67" s="101">
        <v>494.5</v>
      </c>
      <c r="K67" s="101">
        <v>260.95</v>
      </c>
      <c r="L67" s="45" t="s">
        <v>41</v>
      </c>
      <c r="M67" s="45" t="s">
        <v>41</v>
      </c>
      <c r="N67" s="45" t="s">
        <v>41</v>
      </c>
    </row>
    <row r="68" spans="1:14" x14ac:dyDescent="0.4">
      <c r="A68" s="2"/>
      <c r="B68" s="17" t="s">
        <v>216</v>
      </c>
      <c r="C68" s="284">
        <v>60077.88</v>
      </c>
      <c r="D68" s="284">
        <v>61350.26</v>
      </c>
      <c r="E68" s="101">
        <v>57420.24</v>
      </c>
      <c r="F68" s="101">
        <v>58568.51</v>
      </c>
      <c r="G68" s="101">
        <v>62245.43</v>
      </c>
      <c r="H68" s="101">
        <v>52260.82</v>
      </c>
      <c r="I68" s="101">
        <v>58991.519999999997</v>
      </c>
      <c r="J68" s="101">
        <v>63583.07</v>
      </c>
      <c r="K68" s="101">
        <v>50921.22</v>
      </c>
      <c r="L68" s="45" t="s">
        <v>41</v>
      </c>
      <c r="M68" s="45" t="s">
        <v>41</v>
      </c>
      <c r="N68" s="45" t="s">
        <v>41</v>
      </c>
    </row>
    <row r="69" spans="1:14" x14ac:dyDescent="0.4">
      <c r="A69" s="2"/>
      <c r="B69" s="17" t="s">
        <v>1087</v>
      </c>
      <c r="C69" s="546" t="s">
        <v>83</v>
      </c>
      <c r="D69" s="546"/>
      <c r="E69" s="546"/>
      <c r="F69" s="546"/>
      <c r="G69" s="546"/>
      <c r="H69" s="546"/>
      <c r="I69" s="546"/>
      <c r="J69" s="546"/>
      <c r="K69" s="546"/>
      <c r="L69" s="546"/>
      <c r="M69" s="546"/>
      <c r="N69" s="546"/>
    </row>
    <row r="70" spans="1:14" x14ac:dyDescent="0.4">
      <c r="A70" s="2"/>
      <c r="B70" s="551" t="s">
        <v>1093</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ht="39.75" customHeight="1"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1127</v>
      </c>
      <c r="E78" s="18" t="s">
        <v>218</v>
      </c>
      <c r="F78" s="18" t="s">
        <v>71</v>
      </c>
      <c r="G78" s="18" t="s">
        <v>107</v>
      </c>
      <c r="H78" s="13"/>
      <c r="I78" s="13"/>
      <c r="J78" s="13"/>
      <c r="K78" s="13"/>
      <c r="L78" s="13"/>
      <c r="M78" s="13"/>
      <c r="N78" s="13"/>
    </row>
    <row r="79" spans="1:14" ht="25.55" customHeight="1" x14ac:dyDescent="0.4">
      <c r="A79" s="2"/>
      <c r="B79" s="502" t="s">
        <v>1271</v>
      </c>
      <c r="C79" s="3" t="s">
        <v>930</v>
      </c>
      <c r="D79" s="284">
        <v>8.42</v>
      </c>
      <c r="E79" s="284">
        <v>9.64</v>
      </c>
      <c r="F79" s="55">
        <v>13.09</v>
      </c>
      <c r="G79" s="560" t="s">
        <v>220</v>
      </c>
      <c r="H79" s="217"/>
      <c r="I79" s="53"/>
      <c r="J79" s="53"/>
      <c r="K79" s="53"/>
      <c r="L79" s="53"/>
      <c r="M79" s="53"/>
      <c r="N79" s="53"/>
    </row>
    <row r="80" spans="1:14" x14ac:dyDescent="0.4">
      <c r="A80" s="2"/>
      <c r="B80" s="502"/>
      <c r="C80" s="3" t="s">
        <v>765</v>
      </c>
      <c r="D80" s="284"/>
      <c r="E80" s="284"/>
      <c r="F80" s="55"/>
      <c r="G80" s="561"/>
      <c r="H80" s="217"/>
      <c r="I80" s="53"/>
      <c r="J80" s="53"/>
      <c r="K80" s="53"/>
      <c r="L80" s="53"/>
      <c r="M80" s="53"/>
      <c r="N80" s="53"/>
    </row>
    <row r="81" spans="1:14" x14ac:dyDescent="0.4">
      <c r="A81" s="2"/>
      <c r="B81" s="502"/>
      <c r="C81" s="21" t="s">
        <v>931</v>
      </c>
      <c r="D81" s="284">
        <v>144.13999999999999</v>
      </c>
      <c r="E81" s="284">
        <v>195.2243528002933</v>
      </c>
      <c r="F81" s="55">
        <v>400.37</v>
      </c>
      <c r="G81" s="561"/>
      <c r="H81" s="217"/>
      <c r="I81" s="53"/>
      <c r="J81" s="53"/>
      <c r="K81" s="53"/>
      <c r="L81" s="53"/>
      <c r="M81" s="53"/>
      <c r="N81" s="53"/>
    </row>
    <row r="82" spans="1:14" x14ac:dyDescent="0.4">
      <c r="A82" s="2"/>
      <c r="B82" s="502"/>
      <c r="C82" s="3" t="s">
        <v>74</v>
      </c>
      <c r="D82" s="315">
        <v>144.13999999999999</v>
      </c>
      <c r="E82" s="315">
        <v>195.22</v>
      </c>
      <c r="F82" s="132">
        <v>400.37</v>
      </c>
      <c r="G82" s="561"/>
      <c r="H82" s="217"/>
      <c r="I82" s="53"/>
      <c r="J82" s="53"/>
      <c r="K82" s="53"/>
      <c r="L82" s="53"/>
      <c r="M82" s="53"/>
      <c r="N82" s="53"/>
    </row>
    <row r="83" spans="1:14" ht="26.5" x14ac:dyDescent="0.4">
      <c r="A83" s="2"/>
      <c r="B83" s="502" t="s">
        <v>75</v>
      </c>
      <c r="C83" s="3" t="s">
        <v>930</v>
      </c>
      <c r="D83" s="284">
        <v>9.98</v>
      </c>
      <c r="E83" s="284">
        <f>F67/E79</f>
        <v>37.448132780082986</v>
      </c>
      <c r="F83" s="55">
        <f>I67/F79</f>
        <v>21.249045072574482</v>
      </c>
      <c r="G83" s="561"/>
      <c r="H83" s="218"/>
      <c r="I83" s="53"/>
      <c r="J83" s="53"/>
      <c r="K83" s="53"/>
      <c r="L83" s="53"/>
      <c r="M83" s="53"/>
      <c r="N83" s="53"/>
    </row>
    <row r="84" spans="1:14" x14ac:dyDescent="0.4">
      <c r="A84" s="2"/>
      <c r="B84" s="502"/>
      <c r="C84" s="3" t="s">
        <v>73</v>
      </c>
      <c r="D84" s="284"/>
      <c r="E84" s="284"/>
      <c r="F84" s="55"/>
      <c r="G84" s="561"/>
      <c r="H84" s="217"/>
      <c r="I84" s="53"/>
      <c r="J84" s="53"/>
      <c r="K84" s="53"/>
      <c r="L84" s="53"/>
      <c r="M84" s="53"/>
      <c r="N84" s="53"/>
    </row>
    <row r="85" spans="1:14" x14ac:dyDescent="0.4">
      <c r="A85" s="2"/>
      <c r="B85" s="502"/>
      <c r="C85" s="21" t="s">
        <v>931</v>
      </c>
      <c r="D85" s="284">
        <v>173.67</v>
      </c>
      <c r="E85" s="284">
        <v>80.556945469369893</v>
      </c>
      <c r="F85" s="55">
        <f>23010.45/F81</f>
        <v>57.472962509678545</v>
      </c>
      <c r="G85" s="561"/>
      <c r="H85" s="217"/>
      <c r="I85" s="53"/>
      <c r="J85" s="53"/>
      <c r="K85" s="53"/>
      <c r="L85" s="53"/>
      <c r="M85" s="53"/>
      <c r="N85" s="53"/>
    </row>
    <row r="86" spans="1:14" x14ac:dyDescent="0.4">
      <c r="A86" s="2"/>
      <c r="B86" s="502"/>
      <c r="C86" s="3" t="s">
        <v>74</v>
      </c>
      <c r="D86" s="315">
        <v>173.67</v>
      </c>
      <c r="E86" s="315">
        <v>80.56</v>
      </c>
      <c r="F86" s="55">
        <v>57.47</v>
      </c>
      <c r="G86" s="561"/>
      <c r="H86" s="217"/>
      <c r="I86" s="53"/>
      <c r="J86" s="53"/>
      <c r="K86" s="53"/>
      <c r="L86" s="53"/>
      <c r="M86" s="53"/>
      <c r="N86" s="53"/>
    </row>
    <row r="87" spans="1:14" ht="26.5" x14ac:dyDescent="0.4">
      <c r="A87" s="2"/>
      <c r="B87" s="502" t="s">
        <v>76</v>
      </c>
      <c r="C87" s="3" t="s">
        <v>930</v>
      </c>
      <c r="D87" s="284">
        <v>0.3271</v>
      </c>
      <c r="E87" s="284">
        <f>1156.88/5710.45</f>
        <v>0.20258998852980065</v>
      </c>
      <c r="F87" s="55">
        <v>21.580578427251524</v>
      </c>
      <c r="G87" s="561"/>
      <c r="H87" s="219"/>
      <c r="I87" s="53"/>
      <c r="J87" s="53"/>
      <c r="K87" s="53"/>
      <c r="L87" s="53"/>
      <c r="M87" s="53"/>
      <c r="N87" s="53"/>
    </row>
    <row r="88" spans="1:14" x14ac:dyDescent="0.4">
      <c r="A88" s="2"/>
      <c r="B88" s="502"/>
      <c r="C88" s="3" t="s">
        <v>73</v>
      </c>
      <c r="D88" s="284"/>
      <c r="E88" s="284"/>
      <c r="F88" s="55"/>
      <c r="G88" s="561"/>
      <c r="H88" s="217"/>
      <c r="I88" s="53"/>
      <c r="J88" s="53"/>
      <c r="K88" s="53"/>
      <c r="L88" s="53"/>
      <c r="M88" s="53"/>
      <c r="N88" s="53"/>
    </row>
    <row r="89" spans="1:14" x14ac:dyDescent="0.4">
      <c r="A89" s="2"/>
      <c r="B89" s="502"/>
      <c r="C89" s="21" t="s">
        <v>931</v>
      </c>
      <c r="D89" s="284">
        <v>8.5000000000000006E-2</v>
      </c>
      <c r="E89" s="284">
        <v>8.8701201884037104</v>
      </c>
      <c r="F89" s="56">
        <f>45101.92/167747.05</f>
        <v>0.26886863286120383</v>
      </c>
      <c r="G89" s="561"/>
      <c r="H89" s="217"/>
      <c r="I89" s="53"/>
      <c r="J89" s="53"/>
      <c r="K89" s="53"/>
      <c r="L89" s="53"/>
      <c r="M89" s="53"/>
      <c r="N89" s="53"/>
    </row>
    <row r="90" spans="1:14" x14ac:dyDescent="0.4">
      <c r="A90" s="2"/>
      <c r="B90" s="502"/>
      <c r="C90" s="3" t="s">
        <v>74</v>
      </c>
      <c r="D90" s="315">
        <v>8.5000000000000006E-2</v>
      </c>
      <c r="E90" s="315">
        <v>8.8700000000000001E-2</v>
      </c>
      <c r="F90" s="316">
        <v>0.26889999999999997</v>
      </c>
      <c r="G90" s="561"/>
      <c r="H90" s="217"/>
      <c r="I90" s="53"/>
      <c r="J90" s="53"/>
      <c r="K90" s="53"/>
      <c r="L90" s="53"/>
      <c r="M90" s="53"/>
      <c r="N90" s="53"/>
    </row>
    <row r="91" spans="1:14" ht="18" customHeight="1" x14ac:dyDescent="0.4">
      <c r="A91" s="2"/>
      <c r="B91" s="562" t="s">
        <v>77</v>
      </c>
      <c r="C91" s="3" t="s">
        <v>930</v>
      </c>
      <c r="D91" s="284">
        <v>25.74</v>
      </c>
      <c r="E91" s="284">
        <f>(5710.45*100000)/12003000</f>
        <v>47.575189535949349</v>
      </c>
      <c r="F91" s="55">
        <v>60.649337665583602</v>
      </c>
      <c r="G91" s="561"/>
      <c r="H91" s="218"/>
      <c r="I91" s="53"/>
      <c r="J91" s="53"/>
      <c r="K91" s="53"/>
      <c r="L91" s="53"/>
      <c r="M91" s="53"/>
      <c r="N91" s="53"/>
    </row>
    <row r="92" spans="1:14" x14ac:dyDescent="0.4">
      <c r="A92" s="2"/>
      <c r="B92" s="563"/>
      <c r="C92" s="3" t="s">
        <v>73</v>
      </c>
      <c r="D92" s="284"/>
      <c r="E92" s="284"/>
      <c r="F92" s="52"/>
      <c r="G92" s="561"/>
      <c r="H92" s="217"/>
      <c r="I92" s="53"/>
      <c r="J92" s="53"/>
      <c r="K92" s="53"/>
      <c r="L92" s="53"/>
      <c r="M92" s="53"/>
      <c r="N92" s="53"/>
    </row>
    <row r="93" spans="1:14" x14ac:dyDescent="0.4">
      <c r="A93" s="2"/>
      <c r="B93" s="563"/>
      <c r="C93" s="21" t="s">
        <v>931</v>
      </c>
      <c r="D93" s="284">
        <v>1695.8</v>
      </c>
      <c r="E93" s="284">
        <v>1505.3560949736132</v>
      </c>
      <c r="F93" s="55">
        <f>167747.05/112.65</f>
        <v>1489.0994229915666</v>
      </c>
      <c r="G93" s="561"/>
      <c r="H93" s="217"/>
      <c r="I93" s="53"/>
      <c r="J93" s="53"/>
      <c r="K93" s="53"/>
      <c r="L93" s="53"/>
      <c r="M93" s="53"/>
      <c r="N93" s="53"/>
    </row>
    <row r="94" spans="1:14" x14ac:dyDescent="0.4">
      <c r="A94" s="2"/>
      <c r="B94" s="564"/>
      <c r="C94" s="3" t="s">
        <v>74</v>
      </c>
      <c r="D94" s="315">
        <v>1695.8</v>
      </c>
      <c r="E94" s="315">
        <v>1503.36</v>
      </c>
      <c r="F94" s="132">
        <v>1489.1</v>
      </c>
      <c r="G94" s="561"/>
      <c r="H94" s="217"/>
      <c r="I94" s="53"/>
      <c r="J94" s="53"/>
      <c r="K94" s="53"/>
      <c r="L94" s="53"/>
      <c r="M94" s="53"/>
      <c r="N94" s="53"/>
    </row>
    <row r="95" spans="1:14" x14ac:dyDescent="0.4">
      <c r="A95" s="1"/>
      <c r="B95" s="412"/>
      <c r="C95" s="413"/>
      <c r="D95" s="413"/>
      <c r="E95" s="413"/>
      <c r="F95" s="413"/>
      <c r="G95" s="414"/>
      <c r="H95" s="1"/>
      <c r="I95" s="1"/>
      <c r="J95" s="1"/>
      <c r="K95" s="1"/>
      <c r="L95" s="1"/>
      <c r="M95" s="1"/>
      <c r="N95" s="1"/>
    </row>
    <row r="96" spans="1:14" x14ac:dyDescent="0.4">
      <c r="A96" s="2"/>
      <c r="B96" s="415" t="s">
        <v>932</v>
      </c>
      <c r="C96" s="416"/>
      <c r="D96" s="416"/>
      <c r="E96" s="416"/>
      <c r="F96" s="416"/>
      <c r="G96" s="417"/>
      <c r="H96" s="53"/>
      <c r="I96" s="53"/>
      <c r="J96" s="53"/>
      <c r="K96" s="53"/>
      <c r="L96" s="53"/>
      <c r="M96" s="53"/>
      <c r="N96" s="53"/>
    </row>
    <row r="97" spans="1:14" x14ac:dyDescent="0.4">
      <c r="A97" s="2"/>
      <c r="B97" s="418" t="s">
        <v>85</v>
      </c>
      <c r="C97" s="419"/>
      <c r="D97" s="419"/>
      <c r="E97" s="419"/>
      <c r="F97" s="419"/>
      <c r="G97" s="420"/>
      <c r="H97" s="53"/>
      <c r="I97" s="53"/>
      <c r="J97" s="53"/>
      <c r="K97" s="53"/>
      <c r="L97" s="53"/>
      <c r="M97" s="53"/>
      <c r="N97" s="53"/>
    </row>
    <row r="98" spans="1:14" x14ac:dyDescent="0.4">
      <c r="A98" s="8"/>
      <c r="B98" s="8"/>
      <c r="C98" s="407"/>
      <c r="D98" s="407"/>
      <c r="E98" s="407"/>
      <c r="F98" s="407"/>
      <c r="G98" s="407"/>
      <c r="H98" s="53"/>
      <c r="I98" s="53"/>
      <c r="J98" s="8"/>
      <c r="K98" s="8"/>
      <c r="L98" s="8"/>
      <c r="M98" s="8"/>
      <c r="N98" s="8"/>
    </row>
    <row r="99" spans="1:14" x14ac:dyDescent="0.4">
      <c r="A99" s="9">
        <v>14</v>
      </c>
      <c r="B99" s="61" t="s">
        <v>78</v>
      </c>
      <c r="C99" s="356" t="s">
        <v>41</v>
      </c>
      <c r="D99" s="357"/>
      <c r="E99" s="357"/>
      <c r="F99" s="357"/>
      <c r="G99" s="408"/>
      <c r="H99" s="8"/>
      <c r="I99" s="8"/>
      <c r="J99" s="8"/>
      <c r="K99" s="8"/>
      <c r="L99" s="8"/>
      <c r="M99" s="8"/>
      <c r="N99" s="8"/>
    </row>
    <row r="100" spans="1:14" x14ac:dyDescent="0.4">
      <c r="A100" s="23"/>
      <c r="B100" s="8"/>
      <c r="C100" s="69"/>
      <c r="D100" s="180"/>
      <c r="E100" s="69"/>
      <c r="F100" s="69"/>
      <c r="G100" s="69"/>
      <c r="H100" s="8"/>
      <c r="I100" s="8"/>
      <c r="J100" s="8"/>
      <c r="K100" s="8"/>
      <c r="L100" s="8"/>
      <c r="M100" s="8"/>
      <c r="N100" s="8"/>
    </row>
    <row r="101" spans="1:14" ht="15.05" customHeight="1" x14ac:dyDescent="0.4">
      <c r="A101" s="8"/>
      <c r="B101" s="548" t="s">
        <v>933</v>
      </c>
      <c r="C101" s="549"/>
      <c r="D101" s="549"/>
      <c r="E101" s="549"/>
      <c r="F101" s="549"/>
      <c r="G101" s="549"/>
      <c r="H101" s="295"/>
      <c r="I101" s="8"/>
      <c r="J101" s="8"/>
      <c r="K101" s="8"/>
      <c r="L101" s="8"/>
      <c r="M101" s="8"/>
      <c r="N101" s="8"/>
    </row>
    <row r="103" spans="1:14" ht="25.55" customHeight="1" x14ac:dyDescent="0.4">
      <c r="B103" s="410"/>
      <c r="C103" s="410"/>
      <c r="D103" s="410"/>
      <c r="E103" s="410"/>
      <c r="F103" s="410"/>
      <c r="G103" s="410"/>
    </row>
    <row r="107" spans="1:14" x14ac:dyDescent="0.4">
      <c r="D107" s="232"/>
      <c r="E107" s="232"/>
      <c r="F107" s="232"/>
    </row>
    <row r="108" spans="1:14" x14ac:dyDescent="0.4">
      <c r="E108" s="198"/>
      <c r="F108" s="198"/>
    </row>
    <row r="109" spans="1:14" x14ac:dyDescent="0.4">
      <c r="D109" s="232"/>
      <c r="E109" s="232"/>
      <c r="F109" s="232"/>
    </row>
  </sheetData>
  <sheetProtection algorithmName="SHA-512" hashValue="P4mHhCY+K+OLmy67NoeKM0HKnEtP3O0lxYPlsTCn5oeIORvaPBt0e+LGPXZNHGRs7k9Rh/Nv3qynyA7Mt+tpgw==" saltValue="44NjQPytKkc9g0cQP5yKBQ==" spinCount="100000" sheet="1" objects="1" scenarios="1"/>
  <mergeCells count="73">
    <mergeCell ref="C54:J55"/>
    <mergeCell ref="C56:J56"/>
    <mergeCell ref="G50:J50"/>
    <mergeCell ref="G49:J49"/>
    <mergeCell ref="K49:M49"/>
    <mergeCell ref="K50:M50"/>
    <mergeCell ref="C99:G99"/>
    <mergeCell ref="B73:N73"/>
    <mergeCell ref="B74:N74"/>
    <mergeCell ref="B76:G76"/>
    <mergeCell ref="B79:B82"/>
    <mergeCell ref="G79:G94"/>
    <mergeCell ref="B83:B86"/>
    <mergeCell ref="B87:B90"/>
    <mergeCell ref="B95:G95"/>
    <mergeCell ref="B96:G96"/>
    <mergeCell ref="B97:G97"/>
    <mergeCell ref="C98:G98"/>
    <mergeCell ref="B91:B94"/>
    <mergeCell ref="B72:N72"/>
    <mergeCell ref="C57:E57"/>
    <mergeCell ref="B58:E58"/>
    <mergeCell ref="B59:E59"/>
    <mergeCell ref="C61:E61"/>
    <mergeCell ref="B65:B66"/>
    <mergeCell ref="C65:C66"/>
    <mergeCell ref="D65:D66"/>
    <mergeCell ref="E65:E66"/>
    <mergeCell ref="F65:H65"/>
    <mergeCell ref="I65:K65"/>
    <mergeCell ref="L65:N65"/>
    <mergeCell ref="B70:N70"/>
    <mergeCell ref="B71:N71"/>
    <mergeCell ref="C45:E45"/>
    <mergeCell ref="B46:E46"/>
    <mergeCell ref="B48:E48"/>
    <mergeCell ref="B51:E51"/>
    <mergeCell ref="B53:E53"/>
    <mergeCell ref="C49:F49"/>
    <mergeCell ref="C50:F50"/>
    <mergeCell ref="B42:E42"/>
    <mergeCell ref="C43:E43"/>
    <mergeCell ref="C44:E44"/>
    <mergeCell ref="C36:E36"/>
    <mergeCell ref="C37:E37"/>
    <mergeCell ref="C38:E38"/>
    <mergeCell ref="B39:E39"/>
    <mergeCell ref="A1:B1"/>
    <mergeCell ref="B17:E17"/>
    <mergeCell ref="C18:E18"/>
    <mergeCell ref="C19:E19"/>
    <mergeCell ref="C20:E20"/>
    <mergeCell ref="C3:E3"/>
    <mergeCell ref="C5:E5"/>
    <mergeCell ref="B6:E6"/>
    <mergeCell ref="C8:E8"/>
    <mergeCell ref="B15:E15"/>
    <mergeCell ref="B101:G101"/>
    <mergeCell ref="B103:G103"/>
    <mergeCell ref="B9:E9"/>
    <mergeCell ref="C11:E11"/>
    <mergeCell ref="B12:E12"/>
    <mergeCell ref="C14:E14"/>
    <mergeCell ref="C21:E21"/>
    <mergeCell ref="C22:E22"/>
    <mergeCell ref="B23:E23"/>
    <mergeCell ref="B26:E26"/>
    <mergeCell ref="B27:E27"/>
    <mergeCell ref="E29:E32"/>
    <mergeCell ref="C69:N69"/>
    <mergeCell ref="B54:B55"/>
    <mergeCell ref="B33:E33"/>
    <mergeCell ref="B35:E35"/>
  </mergeCells>
  <pageMargins left="0" right="0" top="0.42499999999999999" bottom="0.75" header="0.10625" footer="0.3"/>
  <pageSetup paperSize="5" scale="80" orientation="landscape" verticalDpi="1200" r:id="rId1"/>
  <rowBreaks count="2" manualBreakCount="2">
    <brk id="35" max="13" man="1"/>
    <brk id="63" max="1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N111"/>
  <sheetViews>
    <sheetView view="pageBreakPreview" topLeftCell="A65" zoomScale="70" zoomScaleNormal="100" zoomScaleSheetLayoutView="70" zoomScalePageLayoutView="50" workbookViewId="0">
      <selection activeCell="C5" sqref="C5:G5"/>
    </sheetView>
  </sheetViews>
  <sheetFormatPr defaultColWidth="8.84375" defaultRowHeight="13.25" x14ac:dyDescent="0.4"/>
  <cols>
    <col min="1" max="1" width="8.84375" style="8"/>
    <col min="2" max="2" width="40.84375" style="8" customWidth="1"/>
    <col min="3" max="3" width="16.84375" style="8" customWidth="1"/>
    <col min="4" max="4" width="17.53515625" style="8" customWidth="1"/>
    <col min="5" max="5" width="15.07421875" style="8" customWidth="1"/>
    <col min="6" max="6" width="9.53515625" style="8" customWidth="1"/>
    <col min="7" max="7" width="10.84375" style="8" customWidth="1"/>
    <col min="8" max="8" width="8.84375" style="8"/>
    <col min="9" max="9" width="8.07421875" style="8" customWidth="1"/>
    <col min="10" max="16384" width="8.84375" style="8"/>
  </cols>
  <sheetData>
    <row r="1" spans="1:5" x14ac:dyDescent="0.4">
      <c r="A1" s="355" t="s">
        <v>0</v>
      </c>
      <c r="B1" s="355"/>
      <c r="D1" s="1"/>
    </row>
    <row r="3" spans="1:5" x14ac:dyDescent="0.4">
      <c r="A3" s="27" t="s">
        <v>1</v>
      </c>
      <c r="B3" s="3" t="s">
        <v>2</v>
      </c>
      <c r="C3" s="497" t="s">
        <v>934</v>
      </c>
      <c r="D3" s="497"/>
      <c r="E3" s="497"/>
    </row>
    <row r="4" spans="1:5" x14ac:dyDescent="0.4">
      <c r="C4" s="23"/>
      <c r="D4" s="5"/>
      <c r="E4" s="23"/>
    </row>
    <row r="5" spans="1:5" x14ac:dyDescent="0.4">
      <c r="A5" s="292">
        <v>1</v>
      </c>
      <c r="B5" s="3" t="s">
        <v>3</v>
      </c>
      <c r="C5" s="497" t="s">
        <v>697</v>
      </c>
      <c r="D5" s="497"/>
      <c r="E5" s="497"/>
    </row>
    <row r="6" spans="1:5" x14ac:dyDescent="0.4">
      <c r="A6" s="9"/>
      <c r="B6" s="480" t="s">
        <v>5</v>
      </c>
      <c r="C6" s="480"/>
      <c r="D6" s="480"/>
      <c r="E6" s="480"/>
    </row>
    <row r="7" spans="1:5" x14ac:dyDescent="0.4">
      <c r="A7" s="9"/>
      <c r="B7" s="11"/>
      <c r="D7" s="5"/>
    </row>
    <row r="8" spans="1:5" x14ac:dyDescent="0.4">
      <c r="A8" s="18">
        <v>2</v>
      </c>
      <c r="B8" s="3" t="s">
        <v>6</v>
      </c>
      <c r="C8" s="497" t="s">
        <v>935</v>
      </c>
      <c r="D8" s="497"/>
      <c r="E8" s="497"/>
    </row>
    <row r="9" spans="1:5" x14ac:dyDescent="0.4">
      <c r="A9" s="18"/>
      <c r="B9" s="480" t="s">
        <v>5</v>
      </c>
      <c r="C9" s="480"/>
      <c r="D9" s="480"/>
      <c r="E9" s="480"/>
    </row>
    <row r="10" spans="1:5" x14ac:dyDescent="0.4">
      <c r="A10" s="9"/>
      <c r="B10" s="11"/>
      <c r="D10" s="5"/>
    </row>
    <row r="11" spans="1:5" ht="42.75" customHeight="1" x14ac:dyDescent="0.4">
      <c r="A11" s="18">
        <v>3</v>
      </c>
      <c r="B11" s="3" t="s">
        <v>7</v>
      </c>
      <c r="C11" s="458" t="s">
        <v>1109</v>
      </c>
      <c r="D11" s="458"/>
      <c r="E11" s="458"/>
    </row>
    <row r="12" spans="1:5" x14ac:dyDescent="0.4">
      <c r="A12" s="18"/>
      <c r="B12" s="480" t="s">
        <v>5</v>
      </c>
      <c r="C12" s="480"/>
      <c r="D12" s="480"/>
      <c r="E12" s="480"/>
    </row>
    <row r="13" spans="1:5" x14ac:dyDescent="0.4">
      <c r="A13" s="9"/>
      <c r="B13" s="11"/>
      <c r="D13" s="5"/>
    </row>
    <row r="14" spans="1:5" x14ac:dyDescent="0.4">
      <c r="A14" s="18">
        <v>4</v>
      </c>
      <c r="B14" s="3" t="s">
        <v>9</v>
      </c>
      <c r="C14" s="497" t="s">
        <v>936</v>
      </c>
      <c r="D14" s="497"/>
      <c r="E14" s="497"/>
    </row>
    <row r="15" spans="1:5" ht="13.5" customHeight="1" x14ac:dyDescent="0.4">
      <c r="A15" s="18"/>
      <c r="B15" s="480" t="s">
        <v>10</v>
      </c>
      <c r="C15" s="480"/>
      <c r="D15" s="480"/>
      <c r="E15" s="480"/>
    </row>
    <row r="16" spans="1:5" x14ac:dyDescent="0.4">
      <c r="A16" s="9"/>
      <c r="D16" s="5"/>
    </row>
    <row r="17" spans="1:14" x14ac:dyDescent="0.4">
      <c r="A17" s="18">
        <v>5</v>
      </c>
      <c r="B17" s="365" t="s">
        <v>1082</v>
      </c>
      <c r="C17" s="366"/>
      <c r="D17" s="366"/>
      <c r="E17" s="366"/>
      <c r="F17" s="11"/>
      <c r="G17" s="11"/>
      <c r="H17" s="11"/>
      <c r="I17" s="11"/>
      <c r="J17" s="13"/>
      <c r="K17" s="13"/>
      <c r="L17" s="13"/>
      <c r="M17" s="13"/>
      <c r="N17" s="13"/>
    </row>
    <row r="18" spans="1:14" x14ac:dyDescent="0.4">
      <c r="A18" s="18"/>
      <c r="B18" s="14" t="s">
        <v>12</v>
      </c>
      <c r="C18" s="367" t="s">
        <v>560</v>
      </c>
      <c r="D18" s="367"/>
      <c r="E18" s="367"/>
      <c r="F18" s="15"/>
      <c r="G18" s="13"/>
      <c r="H18" s="13"/>
      <c r="I18" s="13"/>
      <c r="J18" s="13"/>
      <c r="K18" s="13"/>
      <c r="L18" s="13"/>
      <c r="M18" s="13"/>
      <c r="N18" s="13"/>
    </row>
    <row r="19" spans="1:14" ht="42" customHeight="1" x14ac:dyDescent="0.4">
      <c r="A19" s="18"/>
      <c r="B19" s="14" t="s">
        <v>1046</v>
      </c>
      <c r="C19" s="367" t="s">
        <v>560</v>
      </c>
      <c r="D19" s="367"/>
      <c r="E19" s="367"/>
      <c r="F19" s="15"/>
      <c r="G19" s="13"/>
      <c r="I19" s="13"/>
      <c r="J19" s="13"/>
      <c r="K19" s="13"/>
      <c r="L19" s="13"/>
      <c r="M19" s="13"/>
      <c r="N19" s="13"/>
    </row>
    <row r="20" spans="1:14" x14ac:dyDescent="0.4">
      <c r="A20" s="18"/>
      <c r="B20" s="14" t="s">
        <v>605</v>
      </c>
      <c r="C20" s="367" t="s">
        <v>560</v>
      </c>
      <c r="D20" s="367"/>
      <c r="E20" s="367"/>
      <c r="F20" s="15"/>
      <c r="G20" s="13"/>
      <c r="H20" s="13"/>
      <c r="I20" s="13"/>
      <c r="J20" s="13"/>
      <c r="K20" s="13"/>
      <c r="L20" s="13"/>
      <c r="M20" s="13"/>
      <c r="N20" s="13"/>
    </row>
    <row r="21" spans="1:14" x14ac:dyDescent="0.4">
      <c r="A21" s="18"/>
      <c r="B21" s="14" t="s">
        <v>15</v>
      </c>
      <c r="C21" s="367" t="s">
        <v>560</v>
      </c>
      <c r="D21" s="367"/>
      <c r="E21" s="367"/>
      <c r="F21" s="15"/>
      <c r="G21" s="13"/>
      <c r="H21" s="13"/>
      <c r="I21" s="13"/>
      <c r="J21" s="13"/>
      <c r="K21" s="13"/>
      <c r="L21" s="13"/>
      <c r="M21" s="13"/>
      <c r="N21" s="13"/>
    </row>
    <row r="22" spans="1:14" x14ac:dyDescent="0.4">
      <c r="A22" s="18"/>
      <c r="B22" s="16" t="s">
        <v>16</v>
      </c>
      <c r="C22" s="447" t="s">
        <v>201</v>
      </c>
      <c r="D22" s="447"/>
      <c r="E22" s="447"/>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18">
        <v>6</v>
      </c>
      <c r="B25" s="365" t="s">
        <v>1086</v>
      </c>
      <c r="C25" s="365"/>
      <c r="D25" s="365"/>
      <c r="E25" s="365"/>
      <c r="F25" s="11"/>
      <c r="G25" s="11"/>
      <c r="H25" s="13"/>
      <c r="I25" s="11"/>
      <c r="J25" s="11"/>
    </row>
    <row r="26" spans="1:14" x14ac:dyDescent="0.4">
      <c r="A26" s="18"/>
      <c r="B26" s="370" t="s">
        <v>19</v>
      </c>
      <c r="C26" s="371"/>
      <c r="D26" s="371"/>
      <c r="E26" s="372"/>
      <c r="F26" s="15"/>
    </row>
    <row r="27" spans="1:14" x14ac:dyDescent="0.4">
      <c r="A27" s="18"/>
      <c r="B27" s="17" t="s">
        <v>20</v>
      </c>
      <c r="C27" s="18" t="s">
        <v>262</v>
      </c>
      <c r="D27" s="18" t="s">
        <v>263</v>
      </c>
      <c r="E27" s="18" t="s">
        <v>23</v>
      </c>
      <c r="F27" s="15"/>
    </row>
    <row r="28" spans="1:14" ht="12.7" customHeight="1" x14ac:dyDescent="0.4">
      <c r="A28" s="18"/>
      <c r="B28" s="19" t="s">
        <v>24</v>
      </c>
      <c r="C28" s="172">
        <v>20160.64</v>
      </c>
      <c r="D28" s="21">
        <v>25540.73</v>
      </c>
      <c r="E28" s="540" t="s">
        <v>203</v>
      </c>
      <c r="F28" s="15"/>
    </row>
    <row r="29" spans="1:14" x14ac:dyDescent="0.4">
      <c r="A29" s="18"/>
      <c r="B29" s="19" t="s">
        <v>25</v>
      </c>
      <c r="C29" s="172">
        <v>2802.5</v>
      </c>
      <c r="D29" s="21">
        <v>2442.1799999999998</v>
      </c>
      <c r="E29" s="541"/>
      <c r="F29" s="15"/>
    </row>
    <row r="30" spans="1:14" x14ac:dyDescent="0.4">
      <c r="A30" s="18"/>
      <c r="B30" s="19" t="s">
        <v>26</v>
      </c>
      <c r="C30" s="172">
        <v>1056.1199999999999</v>
      </c>
      <c r="D30" s="21">
        <v>1056.1199999999999</v>
      </c>
      <c r="E30" s="541"/>
      <c r="F30" s="15"/>
    </row>
    <row r="31" spans="1:14" x14ac:dyDescent="0.35">
      <c r="A31" s="18"/>
      <c r="B31" s="19" t="s">
        <v>27</v>
      </c>
      <c r="C31" s="233">
        <v>5221.92</v>
      </c>
      <c r="D31" s="21">
        <v>7664.1</v>
      </c>
      <c r="E31" s="542"/>
      <c r="F31" s="15"/>
    </row>
    <row r="32" spans="1:14" x14ac:dyDescent="0.4">
      <c r="A32" s="9"/>
      <c r="B32" s="13"/>
      <c r="C32" s="15"/>
      <c r="D32" s="15"/>
      <c r="E32" s="15"/>
      <c r="F32" s="15"/>
    </row>
    <row r="33" spans="1:10" ht="27.05" customHeight="1" x14ac:dyDescent="0.4">
      <c r="A33" s="18">
        <v>7</v>
      </c>
      <c r="B33" s="376" t="s">
        <v>28</v>
      </c>
      <c r="C33" s="365"/>
      <c r="D33" s="365"/>
      <c r="E33" s="365"/>
      <c r="F33" s="11"/>
      <c r="G33" s="11"/>
      <c r="H33" s="11"/>
      <c r="I33" s="11"/>
      <c r="J33" s="11"/>
    </row>
    <row r="34" spans="1:10" x14ac:dyDescent="0.4">
      <c r="A34" s="18"/>
      <c r="B34" s="266" t="s">
        <v>29</v>
      </c>
      <c r="C34" s="393" t="s">
        <v>183</v>
      </c>
      <c r="D34" s="393"/>
      <c r="E34" s="393"/>
      <c r="F34" s="13"/>
    </row>
    <row r="35" spans="1:10" ht="14.25" customHeight="1" x14ac:dyDescent="0.4">
      <c r="A35" s="18"/>
      <c r="B35" s="266" t="s">
        <v>31</v>
      </c>
      <c r="C35" s="393" t="s">
        <v>183</v>
      </c>
      <c r="D35" s="393"/>
      <c r="E35" s="393"/>
      <c r="F35" s="13"/>
    </row>
    <row r="36" spans="1:10" ht="16.45" customHeight="1" x14ac:dyDescent="0.4">
      <c r="A36" s="18"/>
      <c r="B36" s="266" t="s">
        <v>32</v>
      </c>
      <c r="C36" s="393" t="s">
        <v>201</v>
      </c>
      <c r="D36" s="393"/>
      <c r="E36" s="393"/>
      <c r="F36" s="13"/>
    </row>
    <row r="37" spans="1:10" x14ac:dyDescent="0.4">
      <c r="A37" s="9"/>
      <c r="B37" s="15"/>
      <c r="C37" s="13"/>
      <c r="D37" s="13"/>
      <c r="E37" s="13"/>
      <c r="F37" s="13"/>
    </row>
    <row r="38" spans="1:10" ht="12.7" customHeight="1" x14ac:dyDescent="0.4">
      <c r="A38" s="18">
        <v>8</v>
      </c>
      <c r="B38" s="365" t="s">
        <v>1084</v>
      </c>
      <c r="C38" s="365"/>
      <c r="D38" s="365"/>
      <c r="E38" s="365"/>
      <c r="F38" s="365"/>
      <c r="G38" s="365"/>
      <c r="H38" s="365"/>
      <c r="I38" s="11"/>
      <c r="J38" s="11"/>
    </row>
    <row r="39" spans="1:10" ht="18" customHeight="1" x14ac:dyDescent="0.4">
      <c r="A39" s="18"/>
      <c r="B39" s="17" t="s">
        <v>34</v>
      </c>
      <c r="C39" s="446" t="s">
        <v>937</v>
      </c>
      <c r="D39" s="446"/>
      <c r="E39" s="446"/>
      <c r="F39" s="446"/>
      <c r="G39" s="446"/>
      <c r="H39" s="446"/>
    </row>
    <row r="40" spans="1:10" ht="71.25" customHeight="1" x14ac:dyDescent="0.4">
      <c r="A40" s="18"/>
      <c r="B40" s="17" t="s">
        <v>31</v>
      </c>
      <c r="C40" s="446" t="s">
        <v>1249</v>
      </c>
      <c r="D40" s="446"/>
      <c r="E40" s="446"/>
      <c r="F40" s="446"/>
      <c r="G40" s="446"/>
      <c r="H40" s="446"/>
    </row>
    <row r="41" spans="1:10" x14ac:dyDescent="0.4">
      <c r="A41" s="18"/>
      <c r="B41" s="17" t="s">
        <v>32</v>
      </c>
      <c r="C41" s="446" t="s">
        <v>201</v>
      </c>
      <c r="D41" s="446"/>
      <c r="E41" s="446"/>
      <c r="F41" s="446"/>
      <c r="G41" s="446"/>
      <c r="H41" s="446"/>
    </row>
    <row r="42" spans="1:10" x14ac:dyDescent="0.4">
      <c r="A42" s="18"/>
      <c r="B42" s="567" t="s">
        <v>35</v>
      </c>
      <c r="C42" s="543"/>
      <c r="D42" s="543"/>
      <c r="E42" s="544"/>
      <c r="F42" s="13"/>
    </row>
    <row r="43" spans="1:10" x14ac:dyDescent="0.4">
      <c r="A43" s="2"/>
      <c r="D43" s="23"/>
      <c r="E43" s="13"/>
    </row>
    <row r="44" spans="1:10" ht="12.7" customHeight="1" x14ac:dyDescent="0.4">
      <c r="A44" s="18">
        <v>9</v>
      </c>
      <c r="B44" s="365" t="s">
        <v>1085</v>
      </c>
      <c r="C44" s="365"/>
      <c r="D44" s="365"/>
      <c r="E44" s="365"/>
      <c r="F44" s="365"/>
      <c r="G44" s="365"/>
      <c r="H44" s="365"/>
      <c r="I44" s="365"/>
    </row>
    <row r="45" spans="1:10" ht="89.25" customHeight="1" x14ac:dyDescent="0.4">
      <c r="A45" s="18"/>
      <c r="B45" s="27" t="s">
        <v>37</v>
      </c>
      <c r="C45" s="515" t="s">
        <v>38</v>
      </c>
      <c r="D45" s="515"/>
      <c r="E45" s="513" t="s">
        <v>39</v>
      </c>
      <c r="F45" s="513"/>
      <c r="G45" s="513"/>
      <c r="H45" s="515" t="s">
        <v>206</v>
      </c>
      <c r="I45" s="515"/>
    </row>
    <row r="46" spans="1:10" ht="135.05000000000001" customHeight="1" x14ac:dyDescent="0.4">
      <c r="A46" s="18"/>
      <c r="B46" s="78" t="s">
        <v>938</v>
      </c>
      <c r="C46" s="497" t="s">
        <v>1287</v>
      </c>
      <c r="D46" s="497"/>
      <c r="E46" s="497" t="s">
        <v>1288</v>
      </c>
      <c r="F46" s="497"/>
      <c r="G46" s="497"/>
      <c r="H46" s="516" t="s">
        <v>83</v>
      </c>
      <c r="I46" s="516"/>
    </row>
    <row r="47" spans="1:10" ht="12.7" customHeight="1" x14ac:dyDescent="0.4">
      <c r="A47" s="268"/>
      <c r="B47" s="480" t="s">
        <v>939</v>
      </c>
      <c r="C47" s="480"/>
      <c r="D47" s="480"/>
      <c r="E47" s="480"/>
      <c r="F47" s="480"/>
      <c r="G47" s="480"/>
      <c r="H47" s="480"/>
      <c r="I47" s="480"/>
    </row>
    <row r="48" spans="1:10" x14ac:dyDescent="0.4">
      <c r="A48" s="36"/>
      <c r="B48" s="62"/>
      <c r="C48" s="23"/>
      <c r="D48" s="23"/>
      <c r="E48" s="23"/>
      <c r="F48" s="15"/>
      <c r="G48" s="15"/>
      <c r="H48" s="15"/>
      <c r="I48" s="15"/>
    </row>
    <row r="49" spans="1:14" ht="12.7" customHeight="1" x14ac:dyDescent="0.4">
      <c r="A49" s="18">
        <v>10</v>
      </c>
      <c r="B49" s="571" t="s">
        <v>1085</v>
      </c>
      <c r="C49" s="572"/>
      <c r="D49" s="572"/>
      <c r="E49" s="572"/>
      <c r="F49" s="572"/>
      <c r="G49" s="572"/>
      <c r="H49" s="572"/>
      <c r="I49" s="572"/>
    </row>
    <row r="50" spans="1:14" ht="12.7" customHeight="1" x14ac:dyDescent="0.4">
      <c r="A50" s="18"/>
      <c r="B50" s="566" t="s">
        <v>43</v>
      </c>
      <c r="C50" s="500" t="s">
        <v>940</v>
      </c>
      <c r="D50" s="500"/>
      <c r="E50" s="500"/>
      <c r="F50" s="500"/>
      <c r="G50" s="500"/>
      <c r="H50" s="500"/>
      <c r="I50" s="500"/>
      <c r="K50" s="1"/>
    </row>
    <row r="51" spans="1:14" ht="33.799999999999997" customHeight="1" x14ac:dyDescent="0.4">
      <c r="A51" s="18"/>
      <c r="B51" s="566"/>
      <c r="C51" s="500"/>
      <c r="D51" s="500"/>
      <c r="E51" s="500"/>
      <c r="F51" s="500"/>
      <c r="G51" s="500"/>
      <c r="H51" s="500"/>
      <c r="I51" s="500"/>
      <c r="K51" s="1"/>
    </row>
    <row r="52" spans="1:14" ht="53.25" customHeight="1" x14ac:dyDescent="0.4">
      <c r="A52" s="18"/>
      <c r="B52" s="30" t="s">
        <v>44</v>
      </c>
      <c r="C52" s="391" t="s">
        <v>1286</v>
      </c>
      <c r="D52" s="391"/>
      <c r="E52" s="391"/>
      <c r="F52" s="391"/>
      <c r="G52" s="391"/>
      <c r="H52" s="391"/>
      <c r="I52" s="391"/>
    </row>
    <row r="53" spans="1:14" x14ac:dyDescent="0.4">
      <c r="A53" s="18"/>
      <c r="B53" s="30" t="s">
        <v>45</v>
      </c>
      <c r="C53" s="460" t="s">
        <v>46</v>
      </c>
      <c r="D53" s="460"/>
      <c r="E53" s="460"/>
      <c r="F53" s="460"/>
      <c r="G53" s="460"/>
      <c r="H53" s="460"/>
      <c r="I53" s="460"/>
      <c r="K53" s="34"/>
    </row>
    <row r="54" spans="1:14" ht="29.3" customHeight="1" x14ac:dyDescent="0.4">
      <c r="A54" s="18"/>
      <c r="B54" s="480" t="s">
        <v>1291</v>
      </c>
      <c r="C54" s="480"/>
      <c r="D54" s="480"/>
      <c r="E54" s="480"/>
      <c r="F54" s="480"/>
      <c r="G54" s="480"/>
      <c r="H54" s="480"/>
      <c r="I54" s="480"/>
      <c r="K54" s="34"/>
    </row>
    <row r="55" spans="1:14" s="63" customFormat="1" x14ac:dyDescent="0.35">
      <c r="A55" s="61" t="s">
        <v>47</v>
      </c>
      <c r="B55" s="392" t="s">
        <v>48</v>
      </c>
      <c r="C55" s="392"/>
      <c r="D55" s="392"/>
      <c r="E55" s="392"/>
      <c r="F55" s="392"/>
      <c r="G55" s="392"/>
      <c r="H55" s="392"/>
      <c r="I55" s="392"/>
    </row>
    <row r="56" spans="1:14" x14ac:dyDescent="0.4">
      <c r="A56" s="40"/>
      <c r="B56" s="321"/>
      <c r="C56" s="53"/>
      <c r="D56" s="53"/>
      <c r="E56" s="53"/>
      <c r="F56" s="53"/>
    </row>
    <row r="57" spans="1:14" x14ac:dyDescent="0.4">
      <c r="A57" s="18">
        <v>11</v>
      </c>
      <c r="B57" s="3" t="s">
        <v>49</v>
      </c>
      <c r="C57" s="393" t="s">
        <v>1037</v>
      </c>
      <c r="D57" s="393"/>
      <c r="E57" s="393"/>
      <c r="F57" s="11"/>
      <c r="G57" s="11"/>
      <c r="H57" s="43"/>
      <c r="I57" s="11"/>
      <c r="J57" s="11"/>
    </row>
    <row r="58" spans="1:14" x14ac:dyDescent="0.4">
      <c r="A58" s="9"/>
      <c r="B58" s="15"/>
      <c r="C58" s="15"/>
      <c r="D58" s="15"/>
      <c r="E58" s="15"/>
      <c r="F58" s="15"/>
      <c r="G58" s="15"/>
      <c r="H58" s="44"/>
      <c r="I58" s="44"/>
      <c r="J58" s="15"/>
    </row>
    <row r="59" spans="1:14" x14ac:dyDescent="0.4">
      <c r="A59" s="18">
        <v>12</v>
      </c>
      <c r="B59" s="11" t="s">
        <v>51</v>
      </c>
      <c r="C59" s="11"/>
      <c r="D59" s="11"/>
      <c r="E59" s="43"/>
      <c r="F59" s="43"/>
      <c r="G59" s="11"/>
      <c r="H59" s="11"/>
      <c r="I59" s="11"/>
      <c r="J59" s="11"/>
      <c r="K59" s="11"/>
      <c r="L59" s="11"/>
      <c r="M59" s="11"/>
      <c r="N59" s="11"/>
    </row>
    <row r="60" spans="1:14" x14ac:dyDescent="0.4">
      <c r="A60" s="18"/>
      <c r="B60" s="11"/>
      <c r="C60" s="11"/>
      <c r="D60" s="11"/>
      <c r="E60" s="43"/>
      <c r="F60" s="43"/>
      <c r="G60" s="43"/>
      <c r="H60" s="11"/>
      <c r="I60" s="11"/>
      <c r="J60" s="11"/>
      <c r="K60" s="11"/>
      <c r="L60" s="11"/>
      <c r="M60" s="11"/>
      <c r="N60" s="11"/>
    </row>
    <row r="61" spans="1:14" x14ac:dyDescent="0.4">
      <c r="A61" s="18"/>
      <c r="B61" s="266" t="s">
        <v>941</v>
      </c>
      <c r="C61" s="19" t="s">
        <v>942</v>
      </c>
      <c r="D61" s="15"/>
      <c r="E61" s="15"/>
      <c r="F61" s="44"/>
      <c r="G61" s="44"/>
      <c r="H61" s="15"/>
      <c r="I61" s="15"/>
      <c r="J61" s="15"/>
      <c r="K61" s="15"/>
      <c r="L61" s="15"/>
      <c r="M61" s="15"/>
      <c r="N61" s="15"/>
    </row>
    <row r="62" spans="1:14" x14ac:dyDescent="0.4">
      <c r="A62" s="18"/>
      <c r="B62" s="15"/>
      <c r="C62" s="15"/>
      <c r="D62" s="118"/>
      <c r="E62" s="118"/>
      <c r="F62" s="15"/>
      <c r="G62" s="15"/>
      <c r="H62" s="15"/>
      <c r="I62" s="15"/>
      <c r="J62" s="15"/>
      <c r="K62" s="15"/>
      <c r="L62" s="15"/>
      <c r="M62" s="15"/>
      <c r="N62" s="15"/>
    </row>
    <row r="63" spans="1:14" x14ac:dyDescent="0.4">
      <c r="A63" s="18"/>
      <c r="B63" s="376" t="s">
        <v>53</v>
      </c>
      <c r="C63" s="366" t="s">
        <v>943</v>
      </c>
      <c r="D63" s="366" t="s">
        <v>271</v>
      </c>
      <c r="E63" s="403" t="s">
        <v>232</v>
      </c>
      <c r="F63" s="395" t="s">
        <v>626</v>
      </c>
      <c r="G63" s="396"/>
      <c r="H63" s="397"/>
      <c r="I63" s="398" t="s">
        <v>55</v>
      </c>
      <c r="J63" s="398"/>
      <c r="K63" s="398"/>
      <c r="L63" s="398" t="s">
        <v>56</v>
      </c>
      <c r="M63" s="398"/>
      <c r="N63" s="398"/>
    </row>
    <row r="64" spans="1:14" ht="38.450000000000003" x14ac:dyDescent="0.4">
      <c r="A64" s="27"/>
      <c r="B64" s="376"/>
      <c r="C64" s="402"/>
      <c r="D64" s="402"/>
      <c r="E64" s="404"/>
      <c r="F64" s="17" t="s">
        <v>57</v>
      </c>
      <c r="G64" s="17" t="s">
        <v>58</v>
      </c>
      <c r="H64" s="17" t="s">
        <v>59</v>
      </c>
      <c r="I64" s="17" t="s">
        <v>60</v>
      </c>
      <c r="J64" s="17" t="s">
        <v>58</v>
      </c>
      <c r="K64" s="17" t="s">
        <v>59</v>
      </c>
      <c r="L64" s="17" t="s">
        <v>60</v>
      </c>
      <c r="M64" s="17" t="s">
        <v>58</v>
      </c>
      <c r="N64" s="17" t="s">
        <v>59</v>
      </c>
    </row>
    <row r="65" spans="1:14" x14ac:dyDescent="0.35">
      <c r="A65" s="27"/>
      <c r="B65" s="266" t="s">
        <v>103</v>
      </c>
      <c r="C65" s="284">
        <v>73.099999999999994</v>
      </c>
      <c r="D65" s="101">
        <v>72.5</v>
      </c>
      <c r="E65" s="101">
        <v>88.35</v>
      </c>
      <c r="F65" s="199">
        <v>150.15</v>
      </c>
      <c r="G65" s="101">
        <v>198</v>
      </c>
      <c r="H65" s="101">
        <v>69</v>
      </c>
      <c r="I65" s="101">
        <v>138.1</v>
      </c>
      <c r="J65" s="101">
        <v>218.6</v>
      </c>
      <c r="K65" s="101">
        <v>109.25</v>
      </c>
      <c r="L65" s="45" t="s">
        <v>41</v>
      </c>
      <c r="M65" s="45" t="s">
        <v>41</v>
      </c>
      <c r="N65" s="45" t="s">
        <v>41</v>
      </c>
    </row>
    <row r="66" spans="1:14" ht="25.65" x14ac:dyDescent="0.4">
      <c r="A66" s="27"/>
      <c r="B66" s="266" t="s">
        <v>918</v>
      </c>
      <c r="C66" s="101">
        <v>17895.2</v>
      </c>
      <c r="D66" s="101">
        <v>18068.55</v>
      </c>
      <c r="E66" s="101">
        <v>17925.25</v>
      </c>
      <c r="F66" s="101">
        <v>17464.75</v>
      </c>
      <c r="G66" s="101">
        <v>18604.45</v>
      </c>
      <c r="H66" s="101">
        <v>14151.4</v>
      </c>
      <c r="I66" s="101">
        <v>17359.75</v>
      </c>
      <c r="J66" s="101">
        <v>18887.599999999999</v>
      </c>
      <c r="K66" s="101">
        <v>15183.4</v>
      </c>
      <c r="L66" s="45" t="s">
        <v>41</v>
      </c>
      <c r="M66" s="45" t="s">
        <v>41</v>
      </c>
      <c r="N66" s="45" t="s">
        <v>41</v>
      </c>
    </row>
    <row r="67" spans="1:14" x14ac:dyDescent="0.4">
      <c r="A67" s="27"/>
      <c r="B67" s="266" t="s">
        <v>1087</v>
      </c>
      <c r="C67" s="546" t="s">
        <v>83</v>
      </c>
      <c r="D67" s="546"/>
      <c r="E67" s="546"/>
      <c r="F67" s="546"/>
      <c r="G67" s="546"/>
      <c r="H67" s="546"/>
      <c r="I67" s="546"/>
      <c r="J67" s="546"/>
      <c r="K67" s="546"/>
      <c r="L67" s="546"/>
      <c r="M67" s="546"/>
      <c r="N67" s="546"/>
    </row>
    <row r="68" spans="1:14" x14ac:dyDescent="0.4">
      <c r="A68" s="27"/>
      <c r="B68" s="420" t="s">
        <v>1094</v>
      </c>
      <c r="C68" s="399"/>
      <c r="D68" s="399"/>
      <c r="E68" s="399"/>
      <c r="F68" s="399"/>
      <c r="G68" s="399"/>
      <c r="H68" s="399"/>
      <c r="I68" s="399"/>
      <c r="J68" s="399"/>
      <c r="K68" s="399"/>
      <c r="L68" s="399"/>
      <c r="M68" s="399"/>
      <c r="N68" s="399"/>
    </row>
    <row r="69" spans="1:14" x14ac:dyDescent="0.4">
      <c r="A69" s="27"/>
      <c r="B69" s="364" t="s">
        <v>94</v>
      </c>
      <c r="C69" s="545"/>
      <c r="D69" s="545"/>
      <c r="E69" s="545"/>
      <c r="F69" s="545"/>
      <c r="G69" s="545"/>
      <c r="H69" s="545"/>
      <c r="I69" s="545"/>
      <c r="J69" s="545"/>
      <c r="K69" s="545"/>
      <c r="L69" s="545"/>
      <c r="M69" s="545"/>
      <c r="N69" s="545"/>
    </row>
    <row r="70" spans="1:14" x14ac:dyDescent="0.4">
      <c r="A70" s="27"/>
      <c r="B70" s="369" t="s">
        <v>63</v>
      </c>
      <c r="C70" s="480"/>
      <c r="D70" s="480"/>
      <c r="E70" s="480"/>
      <c r="F70" s="480"/>
      <c r="G70" s="480"/>
      <c r="H70" s="480"/>
      <c r="I70" s="480"/>
      <c r="J70" s="480"/>
      <c r="K70" s="480"/>
      <c r="L70" s="480"/>
      <c r="M70" s="480"/>
      <c r="N70" s="480"/>
    </row>
    <row r="71" spans="1:14" s="1" customFormat="1" x14ac:dyDescent="0.4">
      <c r="A71" s="61"/>
      <c r="B71" s="570" t="s">
        <v>64</v>
      </c>
      <c r="C71" s="474"/>
      <c r="D71" s="474"/>
      <c r="E71" s="474"/>
      <c r="F71" s="474"/>
      <c r="G71" s="474"/>
      <c r="H71" s="474"/>
      <c r="I71" s="474"/>
      <c r="J71" s="474"/>
      <c r="K71" s="474"/>
      <c r="L71" s="474"/>
      <c r="M71" s="474"/>
      <c r="N71" s="474"/>
    </row>
    <row r="72" spans="1:14" x14ac:dyDescent="0.4">
      <c r="A72" s="27"/>
      <c r="B72" s="362" t="s">
        <v>358</v>
      </c>
      <c r="C72" s="359"/>
      <c r="D72" s="359"/>
      <c r="E72" s="359"/>
      <c r="F72" s="359"/>
      <c r="G72" s="359"/>
      <c r="H72" s="359"/>
      <c r="I72" s="359"/>
      <c r="J72" s="359"/>
      <c r="K72" s="359"/>
      <c r="L72" s="359"/>
      <c r="M72" s="359"/>
      <c r="N72" s="359"/>
    </row>
    <row r="73" spans="1:14" x14ac:dyDescent="0.4">
      <c r="A73" s="27"/>
      <c r="B73" s="362" t="s">
        <v>65</v>
      </c>
      <c r="C73" s="359"/>
      <c r="D73" s="359"/>
      <c r="E73" s="359"/>
      <c r="F73" s="359"/>
      <c r="G73" s="359"/>
      <c r="H73" s="359"/>
      <c r="I73" s="359"/>
      <c r="J73" s="359"/>
      <c r="K73" s="359"/>
      <c r="L73" s="359"/>
      <c r="M73" s="359"/>
      <c r="N73" s="359"/>
    </row>
    <row r="74" spans="1:14" x14ac:dyDescent="0.4">
      <c r="A74" s="2"/>
      <c r="B74" s="49"/>
      <c r="C74" s="49"/>
      <c r="D74" s="49"/>
      <c r="E74" s="49"/>
      <c r="F74" s="49"/>
      <c r="G74" s="13"/>
      <c r="H74" s="13"/>
      <c r="I74" s="13"/>
      <c r="J74" s="13"/>
      <c r="K74" s="13"/>
      <c r="L74" s="13"/>
      <c r="M74" s="13"/>
      <c r="N74" s="13"/>
    </row>
    <row r="75" spans="1:14" ht="43.55" customHeight="1" x14ac:dyDescent="0.4">
      <c r="A75" s="18">
        <v>13</v>
      </c>
      <c r="B75" s="406" t="s">
        <v>66</v>
      </c>
      <c r="C75" s="406"/>
      <c r="D75" s="406"/>
      <c r="E75" s="406"/>
      <c r="F75" s="406"/>
      <c r="G75" s="376"/>
      <c r="H75" s="11"/>
      <c r="I75" s="11"/>
      <c r="J75" s="11"/>
      <c r="K75" s="11"/>
      <c r="L75" s="11"/>
      <c r="M75" s="11"/>
      <c r="N75" s="11"/>
    </row>
    <row r="76" spans="1:14" x14ac:dyDescent="0.4">
      <c r="A76" s="18"/>
      <c r="C76" s="15"/>
      <c r="D76" s="15"/>
      <c r="E76" s="15"/>
      <c r="F76" s="15"/>
      <c r="G76" s="15"/>
      <c r="H76" s="15"/>
      <c r="I76" s="15"/>
      <c r="J76" s="15"/>
      <c r="K76" s="15"/>
      <c r="L76" s="15"/>
      <c r="M76" s="15"/>
      <c r="N76" s="15"/>
    </row>
    <row r="77" spans="1:14" ht="25.65" x14ac:dyDescent="0.4">
      <c r="A77" s="27"/>
      <c r="B77" s="269" t="s">
        <v>67</v>
      </c>
      <c r="C77" s="18" t="s">
        <v>68</v>
      </c>
      <c r="D77" s="18" t="s">
        <v>1127</v>
      </c>
      <c r="E77" s="18" t="s">
        <v>218</v>
      </c>
      <c r="F77" s="18" t="s">
        <v>71</v>
      </c>
      <c r="G77" s="18" t="s">
        <v>107</v>
      </c>
      <c r="H77" s="13"/>
      <c r="I77" s="13"/>
      <c r="J77" s="13"/>
      <c r="K77" s="13"/>
      <c r="L77" s="13"/>
      <c r="M77" s="13"/>
      <c r="N77" s="13"/>
    </row>
    <row r="78" spans="1:14" ht="25.55" customHeight="1" x14ac:dyDescent="0.35">
      <c r="A78" s="27"/>
      <c r="B78" s="568" t="s">
        <v>72</v>
      </c>
      <c r="C78" s="21" t="s">
        <v>944</v>
      </c>
      <c r="D78" s="65">
        <v>3.37</v>
      </c>
      <c r="E78" s="65">
        <v>28.34</v>
      </c>
      <c r="F78" s="66">
        <v>22.01</v>
      </c>
      <c r="G78" s="435" t="s">
        <v>220</v>
      </c>
      <c r="H78" s="53"/>
      <c r="I78" s="53"/>
      <c r="J78" s="53"/>
      <c r="K78" s="53"/>
      <c r="L78" s="53"/>
      <c r="M78" s="53"/>
      <c r="N78" s="53"/>
    </row>
    <row r="79" spans="1:14" x14ac:dyDescent="0.4">
      <c r="A79" s="27"/>
      <c r="B79" s="568"/>
      <c r="C79" s="3" t="s">
        <v>765</v>
      </c>
      <c r="D79" s="54"/>
      <c r="E79" s="54"/>
      <c r="F79" s="66"/>
      <c r="G79" s="436"/>
      <c r="H79" s="53"/>
      <c r="I79" s="53"/>
      <c r="J79" s="53"/>
      <c r="K79" s="53"/>
      <c r="L79" s="53"/>
      <c r="M79" s="53"/>
      <c r="N79" s="53"/>
    </row>
    <row r="80" spans="1:14" x14ac:dyDescent="0.35">
      <c r="A80" s="27"/>
      <c r="B80" s="568"/>
      <c r="C80" s="21" t="s">
        <v>945</v>
      </c>
      <c r="D80" s="65">
        <v>79.02</v>
      </c>
      <c r="E80" s="65">
        <v>102.86638808308042</v>
      </c>
      <c r="F80" s="66">
        <v>146.51</v>
      </c>
      <c r="G80" s="436"/>
      <c r="H80" s="53"/>
      <c r="I80" s="53"/>
      <c r="J80" s="53"/>
      <c r="K80" s="53"/>
      <c r="L80" s="53"/>
      <c r="M80" s="53"/>
      <c r="N80" s="53"/>
    </row>
    <row r="81" spans="1:14" ht="26.5" x14ac:dyDescent="0.35">
      <c r="A81" s="27"/>
      <c r="B81" s="568"/>
      <c r="C81" s="21" t="s">
        <v>946</v>
      </c>
      <c r="D81" s="65">
        <v>0.13</v>
      </c>
      <c r="E81" s="65">
        <v>0.83561912723954423</v>
      </c>
      <c r="F81" s="66">
        <v>1.26</v>
      </c>
      <c r="G81" s="436"/>
      <c r="H81" s="53"/>
      <c r="I81" s="53"/>
      <c r="J81" s="53"/>
      <c r="K81" s="53"/>
      <c r="L81" s="53"/>
      <c r="M81" s="53"/>
      <c r="N81" s="53"/>
    </row>
    <row r="82" spans="1:14" x14ac:dyDescent="0.4">
      <c r="A82" s="27"/>
      <c r="B82" s="568"/>
      <c r="C82" s="3" t="s">
        <v>74</v>
      </c>
      <c r="D82" s="127">
        <f>(D80+D81)/2</f>
        <v>39.574999999999996</v>
      </c>
      <c r="E82" s="127">
        <f>(E80+E81)/2</f>
        <v>51.851003605159981</v>
      </c>
      <c r="F82" s="70">
        <f>AVERAGE(F80:F81)</f>
        <v>73.884999999999991</v>
      </c>
      <c r="G82" s="436"/>
      <c r="H82" s="53"/>
      <c r="I82" s="53"/>
      <c r="J82" s="53"/>
      <c r="K82" s="53"/>
      <c r="L82" s="53"/>
      <c r="M82" s="53"/>
      <c r="N82" s="53"/>
    </row>
    <row r="83" spans="1:14" ht="26.5" x14ac:dyDescent="0.35">
      <c r="A83" s="27"/>
      <c r="B83" s="568" t="s">
        <v>75</v>
      </c>
      <c r="C83" s="21" t="s">
        <v>944</v>
      </c>
      <c r="D83" s="65">
        <v>20.77</v>
      </c>
      <c r="E83" s="65">
        <f>F65/E78</f>
        <v>5.2981651376146788</v>
      </c>
      <c r="F83" s="70">
        <f>I65/F78</f>
        <v>6.2744207178555191</v>
      </c>
      <c r="G83" s="436"/>
      <c r="H83" s="53"/>
      <c r="I83" s="53"/>
      <c r="J83" s="53"/>
      <c r="K83" s="53"/>
      <c r="L83" s="53"/>
      <c r="M83" s="53"/>
      <c r="N83" s="53"/>
    </row>
    <row r="84" spans="1:14" x14ac:dyDescent="0.4">
      <c r="A84" s="27"/>
      <c r="B84" s="568"/>
      <c r="C84" s="3" t="s">
        <v>73</v>
      </c>
      <c r="D84" s="54"/>
      <c r="E84" s="54"/>
      <c r="F84" s="66"/>
      <c r="G84" s="436"/>
      <c r="H84" s="53"/>
      <c r="I84" s="53"/>
      <c r="J84" s="53"/>
      <c r="K84" s="53"/>
      <c r="L84" s="53"/>
      <c r="M84" s="53"/>
      <c r="N84" s="53"/>
    </row>
    <row r="85" spans="1:14" x14ac:dyDescent="0.35">
      <c r="A85" s="27"/>
      <c r="B85" s="568"/>
      <c r="C85" s="21" t="s">
        <v>945</v>
      </c>
      <c r="D85" s="65">
        <v>11.64</v>
      </c>
      <c r="E85" s="65">
        <v>4.4822042216628102</v>
      </c>
      <c r="F85" s="70">
        <f>793.9/F80</f>
        <v>5.418742747935295</v>
      </c>
      <c r="G85" s="436"/>
      <c r="H85" s="53"/>
      <c r="I85" s="53"/>
      <c r="J85" s="53"/>
      <c r="K85" s="53"/>
      <c r="L85" s="53"/>
      <c r="M85" s="53"/>
      <c r="N85" s="53"/>
    </row>
    <row r="86" spans="1:14" ht="26.5" x14ac:dyDescent="0.35">
      <c r="A86" s="27"/>
      <c r="B86" s="568"/>
      <c r="C86" s="21" t="s">
        <v>946</v>
      </c>
      <c r="D86" s="65">
        <v>95</v>
      </c>
      <c r="E86" s="65">
        <v>37.192620306226601</v>
      </c>
      <c r="F86" s="70">
        <f>16.5/F81</f>
        <v>13.095238095238095</v>
      </c>
      <c r="G86" s="436"/>
      <c r="H86" s="53"/>
      <c r="I86" s="53"/>
      <c r="J86" s="53"/>
      <c r="K86" s="53"/>
      <c r="L86" s="53"/>
      <c r="M86" s="53"/>
      <c r="N86" s="53"/>
    </row>
    <row r="87" spans="1:14" x14ac:dyDescent="0.4">
      <c r="A87" s="27"/>
      <c r="B87" s="568"/>
      <c r="C87" s="3" t="s">
        <v>74</v>
      </c>
      <c r="D87" s="127">
        <f t="shared" ref="D87:E87" si="0">(D85+D86)/2</f>
        <v>53.32</v>
      </c>
      <c r="E87" s="127">
        <f t="shared" si="0"/>
        <v>20.837412263944707</v>
      </c>
      <c r="F87" s="70">
        <f>AVERAGE(F85:F86)</f>
        <v>9.2569904215866945</v>
      </c>
      <c r="G87" s="436"/>
      <c r="H87" s="53"/>
      <c r="I87" s="53"/>
      <c r="J87" s="53"/>
      <c r="K87" s="53"/>
      <c r="L87" s="53"/>
      <c r="M87" s="53"/>
      <c r="N87" s="53"/>
    </row>
    <row r="88" spans="1:14" ht="26.5" x14ac:dyDescent="0.35">
      <c r="A88" s="27"/>
      <c r="B88" s="568" t="s">
        <v>76</v>
      </c>
      <c r="C88" s="21" t="s">
        <v>944</v>
      </c>
      <c r="D88" s="97">
        <v>0.1305</v>
      </c>
      <c r="E88" s="97">
        <f>2802.5/6278.04</f>
        <v>0.44639728322852357</v>
      </c>
      <c r="F88" s="71">
        <f>2324.73/8720.22</f>
        <v>0.26659075115077374</v>
      </c>
      <c r="G88" s="436"/>
      <c r="H88" s="53"/>
      <c r="I88" s="53"/>
      <c r="J88" s="53"/>
      <c r="K88" s="53"/>
      <c r="L88" s="53"/>
      <c r="M88" s="53"/>
      <c r="N88" s="53"/>
    </row>
    <row r="89" spans="1:14" x14ac:dyDescent="0.4">
      <c r="A89" s="27"/>
      <c r="B89" s="568"/>
      <c r="C89" s="3" t="s">
        <v>73</v>
      </c>
      <c r="D89" s="54"/>
      <c r="E89" s="54"/>
      <c r="F89" s="66"/>
      <c r="G89" s="436"/>
      <c r="H89" s="53"/>
      <c r="I89" s="53"/>
      <c r="J89" s="53"/>
      <c r="K89" s="53"/>
      <c r="L89" s="53"/>
      <c r="M89" s="53"/>
      <c r="N89" s="53"/>
    </row>
    <row r="90" spans="1:14" x14ac:dyDescent="0.4">
      <c r="A90" s="27"/>
      <c r="B90" s="568"/>
      <c r="C90" s="21" t="s">
        <v>945</v>
      </c>
      <c r="D90" s="223">
        <v>0.1512</v>
      </c>
      <c r="E90" s="223">
        <v>16.350015281716701</v>
      </c>
      <c r="F90" s="71">
        <f>426.51/2730.69</f>
        <v>0.15619129231073464</v>
      </c>
      <c r="G90" s="436"/>
      <c r="H90" s="53"/>
      <c r="I90" s="53"/>
      <c r="J90" s="53"/>
      <c r="K90" s="53"/>
      <c r="L90" s="53"/>
      <c r="M90" s="53"/>
      <c r="N90" s="53"/>
    </row>
    <row r="91" spans="1:14" ht="26.5" x14ac:dyDescent="0.35">
      <c r="A91" s="27"/>
      <c r="B91" s="568"/>
      <c r="C91" s="21" t="s">
        <v>946</v>
      </c>
      <c r="D91" s="97">
        <v>0.1095</v>
      </c>
      <c r="E91" s="97">
        <v>2.40297103956798</v>
      </c>
      <c r="F91" s="71">
        <f>2663.77/16056.62</f>
        <v>0.16589855150087626</v>
      </c>
      <c r="G91" s="436"/>
      <c r="H91" s="53"/>
      <c r="I91" s="53"/>
      <c r="J91" s="53"/>
      <c r="K91" s="53"/>
      <c r="L91" s="53"/>
      <c r="M91" s="53"/>
      <c r="N91" s="53"/>
    </row>
    <row r="92" spans="1:14" x14ac:dyDescent="0.4">
      <c r="A92" s="27"/>
      <c r="B92" s="568"/>
      <c r="C92" s="3" t="s">
        <v>74</v>
      </c>
      <c r="D92" s="224">
        <f>(D90+D91)/2</f>
        <v>0.13034999999999999</v>
      </c>
      <c r="E92" s="224">
        <f t="shared" ref="E92" si="1">(E90+E91)/2</f>
        <v>9.3764931606423403</v>
      </c>
      <c r="F92" s="70">
        <f>AVERAGE(F90:F91)</f>
        <v>0.16104492190580544</v>
      </c>
      <c r="G92" s="436"/>
      <c r="H92" s="53"/>
      <c r="I92" s="53"/>
      <c r="J92" s="53"/>
      <c r="K92" s="53"/>
      <c r="L92" s="53"/>
      <c r="M92" s="53"/>
      <c r="N92" s="53"/>
    </row>
    <row r="93" spans="1:14" ht="26.5" x14ac:dyDescent="0.35">
      <c r="A93" s="27"/>
      <c r="B93" s="568" t="s">
        <v>77</v>
      </c>
      <c r="C93" s="21" t="s">
        <v>944</v>
      </c>
      <c r="D93" s="65">
        <v>25.81</v>
      </c>
      <c r="E93" s="65">
        <f>6278.04*100000/10561200</f>
        <v>59.444381320304508</v>
      </c>
      <c r="F93" s="70">
        <f>8720.22/105.61</f>
        <v>82.570021778240687</v>
      </c>
      <c r="G93" s="436"/>
      <c r="H93" s="53"/>
      <c r="I93" s="53"/>
      <c r="J93" s="53"/>
      <c r="K93" s="53"/>
      <c r="L93" s="53"/>
      <c r="M93" s="53"/>
      <c r="N93" s="53"/>
    </row>
    <row r="94" spans="1:14" x14ac:dyDescent="0.4">
      <c r="A94" s="27"/>
      <c r="B94" s="568"/>
      <c r="C94" s="3" t="s">
        <v>73</v>
      </c>
      <c r="D94" s="54"/>
      <c r="E94" s="54"/>
      <c r="F94" s="66"/>
      <c r="G94" s="436"/>
      <c r="H94" s="53"/>
      <c r="I94" s="53"/>
      <c r="J94" s="53"/>
      <c r="K94" s="53"/>
      <c r="L94" s="53"/>
      <c r="M94" s="53"/>
      <c r="N94" s="53"/>
    </row>
    <row r="95" spans="1:14" x14ac:dyDescent="0.4">
      <c r="A95" s="27"/>
      <c r="B95" s="569"/>
      <c r="C95" s="21" t="s">
        <v>945</v>
      </c>
      <c r="D95" s="54">
        <v>522.59</v>
      </c>
      <c r="E95" s="54">
        <v>179.55313269132012</v>
      </c>
      <c r="F95" s="70">
        <f>2730.69/2.911</f>
        <v>938.05908622466507</v>
      </c>
      <c r="G95" s="436"/>
      <c r="H95" s="53"/>
      <c r="I95" s="53"/>
      <c r="J95" s="53"/>
      <c r="K95" s="53"/>
      <c r="L95" s="53"/>
      <c r="M95" s="53"/>
      <c r="N95" s="53"/>
    </row>
    <row r="96" spans="1:14" ht="26.5" x14ac:dyDescent="0.4">
      <c r="A96" s="27"/>
      <c r="B96" s="569"/>
      <c r="C96" s="21" t="s">
        <v>946</v>
      </c>
      <c r="D96" s="54">
        <v>5.31</v>
      </c>
      <c r="E96" s="54">
        <v>0.23907946686048562</v>
      </c>
      <c r="F96" s="70">
        <f>16056.62/2121.73</f>
        <v>7.567701828225081</v>
      </c>
      <c r="G96" s="436"/>
      <c r="H96" s="53"/>
      <c r="I96" s="53"/>
      <c r="J96" s="53"/>
      <c r="K96" s="53"/>
      <c r="L96" s="53"/>
      <c r="M96" s="53"/>
      <c r="N96" s="53"/>
    </row>
    <row r="97" spans="1:14" x14ac:dyDescent="0.35">
      <c r="A97" s="27"/>
      <c r="B97" s="569"/>
      <c r="C97" s="3" t="s">
        <v>74</v>
      </c>
      <c r="D97" s="127">
        <f t="shared" ref="D97:E97" si="2">(D95+D96)/2</f>
        <v>263.95</v>
      </c>
      <c r="E97" s="65">
        <f t="shared" si="2"/>
        <v>89.896106079090302</v>
      </c>
      <c r="F97" s="70">
        <f>AVERAGE(F95:F96)</f>
        <v>472.81339402644505</v>
      </c>
      <c r="G97" s="436"/>
      <c r="H97" s="53"/>
      <c r="I97" s="53"/>
      <c r="J97" s="53"/>
      <c r="K97" s="53"/>
      <c r="L97" s="53"/>
      <c r="M97" s="53"/>
      <c r="N97" s="53"/>
    </row>
    <row r="98" spans="1:14" s="1" customFormat="1" x14ac:dyDescent="0.4">
      <c r="A98" s="61"/>
      <c r="B98" s="469"/>
      <c r="C98" s="413"/>
      <c r="D98" s="413"/>
      <c r="E98" s="413"/>
      <c r="F98" s="413"/>
      <c r="G98" s="414"/>
    </row>
    <row r="99" spans="1:14" x14ac:dyDescent="0.4">
      <c r="A99" s="27"/>
      <c r="B99" s="416" t="s">
        <v>1245</v>
      </c>
      <c r="C99" s="416"/>
      <c r="D99" s="416"/>
      <c r="E99" s="416"/>
      <c r="F99" s="416"/>
      <c r="G99" s="417"/>
      <c r="H99" s="53"/>
      <c r="I99" s="53"/>
      <c r="J99" s="53"/>
      <c r="K99" s="53"/>
      <c r="L99" s="53"/>
      <c r="M99" s="53"/>
      <c r="N99" s="53"/>
    </row>
    <row r="100" spans="1:14" x14ac:dyDescent="0.4">
      <c r="A100" s="27"/>
      <c r="B100" s="419" t="s">
        <v>85</v>
      </c>
      <c r="C100" s="419"/>
      <c r="D100" s="419"/>
      <c r="E100" s="419"/>
      <c r="F100" s="419"/>
      <c r="G100" s="420"/>
      <c r="H100" s="53"/>
      <c r="I100" s="53"/>
      <c r="J100" s="53"/>
      <c r="K100" s="53"/>
      <c r="L100" s="53"/>
      <c r="M100" s="53"/>
      <c r="N100" s="53"/>
    </row>
    <row r="101" spans="1:14" x14ac:dyDescent="0.4">
      <c r="A101" s="27"/>
      <c r="B101" s="368"/>
      <c r="C101" s="368"/>
      <c r="D101" s="368"/>
      <c r="E101" s="368"/>
      <c r="F101" s="368"/>
      <c r="G101" s="369"/>
      <c r="H101" s="53"/>
      <c r="I101" s="53"/>
      <c r="J101" s="53"/>
      <c r="K101" s="53"/>
      <c r="L101" s="53"/>
      <c r="M101" s="53"/>
      <c r="N101" s="53"/>
    </row>
    <row r="102" spans="1:14" x14ac:dyDescent="0.4">
      <c r="C102" s="407"/>
      <c r="D102" s="407"/>
      <c r="E102" s="407"/>
      <c r="F102" s="407"/>
      <c r="G102" s="407"/>
      <c r="H102" s="53"/>
      <c r="I102" s="53"/>
    </row>
    <row r="103" spans="1:14" x14ac:dyDescent="0.4">
      <c r="A103" s="18">
        <v>14</v>
      </c>
      <c r="B103" s="61" t="s">
        <v>78</v>
      </c>
      <c r="C103" s="356" t="s">
        <v>41</v>
      </c>
      <c r="D103" s="357"/>
      <c r="E103" s="357"/>
      <c r="F103" s="357"/>
      <c r="G103" s="408"/>
    </row>
    <row r="104" spans="1:14" x14ac:dyDescent="0.4">
      <c r="A104" s="23"/>
      <c r="C104" s="69"/>
      <c r="D104" s="69"/>
      <c r="E104" s="69"/>
      <c r="F104" s="69"/>
      <c r="G104" s="69"/>
    </row>
    <row r="105" spans="1:14" ht="12.7" customHeight="1" x14ac:dyDescent="0.4">
      <c r="B105" s="538" t="s">
        <v>947</v>
      </c>
      <c r="C105" s="538"/>
      <c r="D105" s="538"/>
      <c r="E105" s="538"/>
      <c r="F105" s="538"/>
      <c r="G105" s="538"/>
    </row>
    <row r="107" spans="1:14" ht="25.55" customHeight="1" x14ac:dyDescent="0.4">
      <c r="B107" s="497" t="s">
        <v>1232</v>
      </c>
      <c r="C107" s="497"/>
      <c r="D107" s="497"/>
      <c r="E107" s="497"/>
      <c r="F107" s="497"/>
      <c r="G107" s="497"/>
    </row>
    <row r="108" spans="1:14" x14ac:dyDescent="0.4">
      <c r="C108" s="230"/>
      <c r="D108" s="230"/>
    </row>
    <row r="109" spans="1:14" x14ac:dyDescent="0.4">
      <c r="C109" s="237"/>
      <c r="D109" s="237"/>
      <c r="E109" s="107"/>
    </row>
    <row r="110" spans="1:14" x14ac:dyDescent="0.4">
      <c r="C110" s="230"/>
      <c r="D110" s="230"/>
      <c r="E110" s="107"/>
    </row>
    <row r="111" spans="1:14" x14ac:dyDescent="0.4">
      <c r="C111" s="230"/>
    </row>
  </sheetData>
  <sheetProtection algorithmName="SHA-512" hashValue="6CqADK844GNkWiJNgo5wSy03R3CJPejIH9wq2S6yNeOQqQ0PXVijXuv6+wS7JqMTDr0yKxhtIE5CqAhO+Ot9pA==" saltValue="1sPCiRtBp5l8uWZXw14y/Q==" spinCount="100000" sheet="1" objects="1" scenarios="1"/>
  <mergeCells count="72">
    <mergeCell ref="C50:I51"/>
    <mergeCell ref="C52:I52"/>
    <mergeCell ref="I63:K63"/>
    <mergeCell ref="C40:H40"/>
    <mergeCell ref="C53:I53"/>
    <mergeCell ref="B54:I54"/>
    <mergeCell ref="B55:I55"/>
    <mergeCell ref="C39:H39"/>
    <mergeCell ref="C41:H41"/>
    <mergeCell ref="B38:H38"/>
    <mergeCell ref="B49:I49"/>
    <mergeCell ref="B44:I44"/>
    <mergeCell ref="H45:I45"/>
    <mergeCell ref="H46:I46"/>
    <mergeCell ref="E45:G45"/>
    <mergeCell ref="E46:G46"/>
    <mergeCell ref="C45:D45"/>
    <mergeCell ref="C46:D46"/>
    <mergeCell ref="B47:I47"/>
    <mergeCell ref="B99:G99"/>
    <mergeCell ref="B100:G100"/>
    <mergeCell ref="B101:G101"/>
    <mergeCell ref="C102:G102"/>
    <mergeCell ref="C103:G103"/>
    <mergeCell ref="B98:G98"/>
    <mergeCell ref="B88:B92"/>
    <mergeCell ref="B93:B97"/>
    <mergeCell ref="B71:N71"/>
    <mergeCell ref="B78:B82"/>
    <mergeCell ref="B83:B87"/>
    <mergeCell ref="B73:N73"/>
    <mergeCell ref="B75:G75"/>
    <mergeCell ref="B72:N72"/>
    <mergeCell ref="C20:E20"/>
    <mergeCell ref="C21:E21"/>
    <mergeCell ref="B70:N70"/>
    <mergeCell ref="C67:N67"/>
    <mergeCell ref="B50:B51"/>
    <mergeCell ref="B33:E33"/>
    <mergeCell ref="B42:E42"/>
    <mergeCell ref="B68:N68"/>
    <mergeCell ref="L63:N63"/>
    <mergeCell ref="B69:N69"/>
    <mergeCell ref="C57:E57"/>
    <mergeCell ref="B63:B64"/>
    <mergeCell ref="C63:C64"/>
    <mergeCell ref="D63:D64"/>
    <mergeCell ref="E63:E64"/>
    <mergeCell ref="F63:H63"/>
    <mergeCell ref="C11:E11"/>
    <mergeCell ref="A1:B1"/>
    <mergeCell ref="C3:E3"/>
    <mergeCell ref="C5:E5"/>
    <mergeCell ref="B6:E6"/>
    <mergeCell ref="C8:E8"/>
    <mergeCell ref="B9:E9"/>
    <mergeCell ref="B107:G107"/>
    <mergeCell ref="B12:E12"/>
    <mergeCell ref="C14:E14"/>
    <mergeCell ref="B15:E15"/>
    <mergeCell ref="B105:G105"/>
    <mergeCell ref="B17:E17"/>
    <mergeCell ref="C18:E18"/>
    <mergeCell ref="C19:E19"/>
    <mergeCell ref="C22:E22"/>
    <mergeCell ref="B25:E25"/>
    <mergeCell ref="B26:E26"/>
    <mergeCell ref="C35:E35"/>
    <mergeCell ref="E28:E31"/>
    <mergeCell ref="C34:E34"/>
    <mergeCell ref="C36:E36"/>
    <mergeCell ref="G78:G97"/>
  </mergeCells>
  <pageMargins left="0" right="0" top="0.42499999999999999" bottom="0.75" header="0.10625" footer="0.3"/>
  <pageSetup paperSize="5" scale="80" orientation="landscape" verticalDpi="1200" r:id="rId1"/>
  <rowBreaks count="2" manualBreakCount="2">
    <brk id="42" max="16383" man="1"/>
    <brk id="70" max="1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118"/>
  <sheetViews>
    <sheetView view="pageBreakPreview" zoomScale="60" zoomScaleNormal="100" zoomScalePageLayoutView="50" workbookViewId="0">
      <selection activeCell="D121" sqref="D121"/>
    </sheetView>
  </sheetViews>
  <sheetFormatPr defaultRowHeight="14.6" x14ac:dyDescent="0.4"/>
  <cols>
    <col min="1" max="1" width="6.4609375" bestFit="1" customWidth="1"/>
    <col min="2" max="2" width="46" bestFit="1" customWidth="1"/>
    <col min="3" max="4" width="15.69140625" customWidth="1"/>
    <col min="5" max="5" width="18.69140625" customWidth="1"/>
    <col min="6" max="6" width="11.84375" customWidth="1"/>
    <col min="7" max="7" width="10.3046875" customWidth="1"/>
    <col min="8" max="8" width="10" bestFit="1" customWidth="1"/>
    <col min="9" max="9" width="9.07421875" customWidth="1"/>
    <col min="10" max="10" width="10.84375" customWidth="1"/>
    <col min="11" max="11" width="10.3046875"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25.55" customHeight="1" x14ac:dyDescent="0.4">
      <c r="A3" s="2" t="s">
        <v>1</v>
      </c>
      <c r="B3" s="3" t="s">
        <v>2</v>
      </c>
      <c r="C3" s="497" t="s">
        <v>844</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845</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846</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573" t="s">
        <v>560</v>
      </c>
      <c r="D18" s="574"/>
      <c r="E18" s="575"/>
      <c r="F18" s="15"/>
      <c r="G18" s="13"/>
      <c r="H18" s="13"/>
      <c r="I18" s="13"/>
      <c r="J18" s="13"/>
      <c r="K18" s="13"/>
      <c r="L18" s="13"/>
      <c r="M18" s="13"/>
      <c r="N18" s="13"/>
    </row>
    <row r="19" spans="1:14" ht="25.65" x14ac:dyDescent="0.4">
      <c r="A19" s="9"/>
      <c r="B19" s="14" t="s">
        <v>1045</v>
      </c>
      <c r="C19" s="573" t="s">
        <v>560</v>
      </c>
      <c r="D19" s="574"/>
      <c r="E19" s="575"/>
      <c r="F19" s="15"/>
      <c r="G19" s="13" t="s">
        <v>693</v>
      </c>
      <c r="H19" s="8"/>
      <c r="I19" s="13"/>
      <c r="J19" s="13"/>
      <c r="K19" s="13"/>
      <c r="L19" s="13"/>
      <c r="M19" s="13"/>
      <c r="N19" s="13"/>
    </row>
    <row r="20" spans="1:14" x14ac:dyDescent="0.4">
      <c r="A20" s="9"/>
      <c r="B20" s="14" t="s">
        <v>605</v>
      </c>
      <c r="C20" s="573" t="s">
        <v>560</v>
      </c>
      <c r="D20" s="574"/>
      <c r="E20" s="575"/>
      <c r="F20" s="15"/>
      <c r="G20" s="13"/>
      <c r="H20" s="13"/>
      <c r="I20" s="13"/>
      <c r="J20" s="13"/>
      <c r="K20" s="13"/>
      <c r="L20" s="13"/>
      <c r="M20" s="13"/>
      <c r="N20" s="13"/>
    </row>
    <row r="21" spans="1:14" x14ac:dyDescent="0.4">
      <c r="A21" s="9"/>
      <c r="B21" s="16" t="s">
        <v>15</v>
      </c>
      <c r="C21" s="576" t="s">
        <v>560</v>
      </c>
      <c r="D21" s="577"/>
      <c r="E21" s="578"/>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c r="B24" s="15"/>
      <c r="C24" s="15"/>
      <c r="D24" s="170"/>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c r="K25" s="8"/>
      <c r="L25" s="8"/>
      <c r="M25" s="8"/>
      <c r="N25" s="8"/>
    </row>
    <row r="26" spans="1:14" x14ac:dyDescent="0.4">
      <c r="A26" s="9"/>
      <c r="B26" s="370" t="s">
        <v>19</v>
      </c>
      <c r="C26" s="371"/>
      <c r="D26" s="371"/>
      <c r="E26" s="372"/>
      <c r="F26" s="15"/>
      <c r="G26" s="8"/>
      <c r="H26" s="8"/>
      <c r="I26" s="8"/>
      <c r="J26" s="8"/>
      <c r="K26" s="8"/>
      <c r="L26" s="8"/>
      <c r="M26" s="8"/>
      <c r="N26" s="8"/>
    </row>
    <row r="27" spans="1:14" x14ac:dyDescent="0.4">
      <c r="A27" s="9"/>
      <c r="B27" s="17" t="s">
        <v>20</v>
      </c>
      <c r="C27" s="18" t="s">
        <v>262</v>
      </c>
      <c r="D27" s="171" t="s">
        <v>263</v>
      </c>
      <c r="E27" s="18" t="s">
        <v>23</v>
      </c>
      <c r="F27" s="15"/>
      <c r="G27" s="8"/>
      <c r="H27" s="8"/>
      <c r="I27" s="8"/>
      <c r="J27" s="8"/>
      <c r="K27" s="8"/>
      <c r="L27" s="8"/>
      <c r="M27" s="8"/>
      <c r="N27" s="8"/>
    </row>
    <row r="28" spans="1:14" ht="15.05" customHeight="1" x14ac:dyDescent="0.4">
      <c r="A28" s="9"/>
      <c r="B28" s="19" t="s">
        <v>24</v>
      </c>
      <c r="C28" s="172">
        <v>61238.6</v>
      </c>
      <c r="D28" s="298">
        <v>62912.23</v>
      </c>
      <c r="E28" s="540" t="s">
        <v>203</v>
      </c>
      <c r="F28" s="15"/>
      <c r="G28" s="8"/>
      <c r="H28" s="8"/>
      <c r="I28" s="8"/>
      <c r="J28" s="8"/>
      <c r="K28" s="8"/>
      <c r="L28" s="8"/>
      <c r="M28" s="8"/>
      <c r="N28" s="8"/>
    </row>
    <row r="29" spans="1:14" x14ac:dyDescent="0.4">
      <c r="A29" s="9"/>
      <c r="B29" s="19" t="s">
        <v>25</v>
      </c>
      <c r="C29" s="21">
        <v>1407.25</v>
      </c>
      <c r="D29" s="298">
        <v>1433.51</v>
      </c>
      <c r="E29" s="541"/>
      <c r="F29" s="15"/>
      <c r="G29" s="8"/>
      <c r="H29" s="8"/>
      <c r="I29" s="8"/>
      <c r="J29" s="8"/>
      <c r="K29" s="8"/>
      <c r="L29" s="8"/>
      <c r="M29" s="8"/>
      <c r="N29" s="8"/>
    </row>
    <row r="30" spans="1:14" x14ac:dyDescent="0.4">
      <c r="A30" s="9"/>
      <c r="B30" s="19" t="s">
        <v>26</v>
      </c>
      <c r="C30" s="21">
        <v>1105.97</v>
      </c>
      <c r="D30" s="298">
        <v>1105.97</v>
      </c>
      <c r="E30" s="541"/>
      <c r="F30" s="15"/>
      <c r="G30" s="8"/>
      <c r="H30" s="8"/>
      <c r="I30" s="8"/>
      <c r="J30" s="8"/>
      <c r="K30" s="8"/>
      <c r="L30" s="8"/>
      <c r="M30" s="8"/>
      <c r="N30" s="8"/>
    </row>
    <row r="31" spans="1:14" x14ac:dyDescent="0.4">
      <c r="A31" s="9"/>
      <c r="B31" s="19" t="s">
        <v>27</v>
      </c>
      <c r="C31" s="172">
        <v>4183.8999999999996</v>
      </c>
      <c r="D31" s="298">
        <v>5506.81</v>
      </c>
      <c r="E31" s="542"/>
      <c r="F31" s="15"/>
      <c r="G31" s="8"/>
      <c r="H31" s="8"/>
      <c r="I31" s="8"/>
      <c r="J31" s="8"/>
      <c r="K31" s="8"/>
      <c r="L31" s="8"/>
      <c r="M31" s="8"/>
      <c r="N31" s="8"/>
    </row>
    <row r="32" spans="1:14" x14ac:dyDescent="0.4">
      <c r="A32" s="9"/>
      <c r="B32" s="363" t="s">
        <v>709</v>
      </c>
      <c r="C32" s="368"/>
      <c r="D32" s="368"/>
      <c r="E32" s="369"/>
      <c r="F32" s="15"/>
      <c r="G32" s="8"/>
      <c r="H32" s="8"/>
      <c r="I32" s="8"/>
      <c r="J32" s="8"/>
      <c r="K32" s="8"/>
      <c r="L32" s="8"/>
      <c r="M32" s="8"/>
      <c r="N32" s="8"/>
    </row>
    <row r="33" spans="1:14" x14ac:dyDescent="0.4">
      <c r="A33" s="9"/>
      <c r="B33" s="13"/>
      <c r="C33" s="15"/>
      <c r="D33" s="170"/>
      <c r="E33" s="15"/>
      <c r="F33" s="15"/>
      <c r="G33" s="8"/>
      <c r="H33" s="8"/>
      <c r="I33" s="8"/>
      <c r="J33" s="8"/>
      <c r="K33" s="8"/>
      <c r="L33" s="8"/>
      <c r="M33" s="8"/>
      <c r="N33" s="8"/>
    </row>
    <row r="34" spans="1:14" x14ac:dyDescent="0.4">
      <c r="A34" s="9">
        <v>7</v>
      </c>
      <c r="B34" s="365" t="s">
        <v>28</v>
      </c>
      <c r="C34" s="365"/>
      <c r="D34" s="365"/>
      <c r="E34" s="365"/>
      <c r="F34" s="11"/>
      <c r="G34" s="11"/>
      <c r="H34" s="11"/>
      <c r="I34" s="11"/>
      <c r="J34" s="11"/>
      <c r="K34" s="8"/>
      <c r="L34" s="8"/>
      <c r="M34" s="8"/>
      <c r="N34" s="8"/>
    </row>
    <row r="35" spans="1:14" x14ac:dyDescent="0.4">
      <c r="A35" s="9"/>
      <c r="B35" s="17" t="s">
        <v>29</v>
      </c>
      <c r="C35" s="446" t="s">
        <v>30</v>
      </c>
      <c r="D35" s="446"/>
      <c r="E35" s="446"/>
      <c r="F35" s="13"/>
      <c r="G35" s="8"/>
      <c r="H35" s="8"/>
      <c r="I35" s="8"/>
      <c r="J35" s="8"/>
      <c r="K35" s="8"/>
      <c r="L35" s="8"/>
      <c r="M35" s="8"/>
      <c r="N35" s="8"/>
    </row>
    <row r="36" spans="1:14" x14ac:dyDescent="0.4">
      <c r="A36" s="9"/>
      <c r="B36" s="17" t="s">
        <v>31</v>
      </c>
      <c r="C36" s="446" t="s">
        <v>30</v>
      </c>
      <c r="D36" s="446"/>
      <c r="E36" s="446"/>
      <c r="F36" s="13"/>
      <c r="G36" s="8"/>
      <c r="H36" s="8"/>
      <c r="I36" s="8"/>
      <c r="J36" s="8"/>
      <c r="K36" s="8"/>
      <c r="L36" s="8"/>
      <c r="M36" s="8"/>
      <c r="N36" s="8"/>
    </row>
    <row r="37" spans="1:14" ht="25.55" customHeight="1" x14ac:dyDescent="0.4">
      <c r="A37" s="9"/>
      <c r="B37" s="17" t="s">
        <v>32</v>
      </c>
      <c r="C37" s="446" t="s">
        <v>201</v>
      </c>
      <c r="D37" s="446"/>
      <c r="E37" s="446"/>
      <c r="F37" s="13"/>
      <c r="G37" s="8"/>
      <c r="H37" s="8"/>
      <c r="I37" s="8"/>
      <c r="J37" s="8"/>
      <c r="K37" s="8"/>
      <c r="L37" s="8"/>
      <c r="M37" s="8"/>
      <c r="N37" s="8"/>
    </row>
    <row r="38" spans="1:14" ht="24.75" customHeight="1" x14ac:dyDescent="0.4">
      <c r="A38" s="9"/>
      <c r="B38" s="480" t="s">
        <v>559</v>
      </c>
      <c r="C38" s="480"/>
      <c r="D38" s="480"/>
      <c r="E38" s="480"/>
      <c r="F38" s="13"/>
      <c r="G38" s="8"/>
      <c r="H38" s="8"/>
      <c r="I38" s="8"/>
      <c r="J38" s="8"/>
      <c r="K38" s="8"/>
      <c r="L38" s="8"/>
      <c r="M38" s="8"/>
      <c r="N38" s="8"/>
    </row>
    <row r="39" spans="1:14" x14ac:dyDescent="0.4">
      <c r="A39" s="9"/>
      <c r="B39" s="8"/>
      <c r="C39" s="13"/>
      <c r="D39" s="169"/>
      <c r="E39" s="13"/>
      <c r="F39" s="13"/>
      <c r="G39" s="8"/>
      <c r="H39" s="8"/>
      <c r="I39" s="8"/>
      <c r="J39" s="8"/>
      <c r="K39" s="8"/>
      <c r="L39" s="8"/>
      <c r="M39" s="8"/>
      <c r="N39" s="8"/>
    </row>
    <row r="40" spans="1:14" x14ac:dyDescent="0.4">
      <c r="A40" s="9"/>
      <c r="B40" s="15"/>
      <c r="C40" s="13"/>
      <c r="D40" s="169"/>
      <c r="E40" s="13"/>
      <c r="F40" s="13"/>
      <c r="G40" s="8"/>
      <c r="H40" s="8"/>
      <c r="I40" s="8"/>
      <c r="J40" s="8"/>
      <c r="K40" s="8"/>
      <c r="L40" s="8"/>
      <c r="M40" s="8"/>
      <c r="N40" s="8"/>
    </row>
    <row r="41" spans="1:14" x14ac:dyDescent="0.4">
      <c r="A41" s="9">
        <v>8</v>
      </c>
      <c r="B41" s="365" t="s">
        <v>1084</v>
      </c>
      <c r="C41" s="365"/>
      <c r="D41" s="365"/>
      <c r="E41" s="365"/>
      <c r="F41" s="11"/>
      <c r="G41" s="11"/>
      <c r="H41" s="11"/>
      <c r="I41" s="11"/>
      <c r="J41" s="11"/>
      <c r="K41" s="8"/>
      <c r="L41" s="8"/>
      <c r="M41" s="8"/>
      <c r="N41" s="8"/>
    </row>
    <row r="42" spans="1:14" ht="31.5" customHeight="1" x14ac:dyDescent="0.4">
      <c r="A42" s="9"/>
      <c r="B42" s="17" t="s">
        <v>34</v>
      </c>
      <c r="C42" s="373" t="s">
        <v>1144</v>
      </c>
      <c r="D42" s="374"/>
      <c r="E42" s="375"/>
      <c r="F42" s="13"/>
      <c r="G42" s="8"/>
      <c r="H42" s="8"/>
      <c r="I42" s="8"/>
      <c r="J42" s="8"/>
      <c r="K42" s="8"/>
      <c r="L42" s="8"/>
      <c r="M42" s="8"/>
      <c r="N42" s="8"/>
    </row>
    <row r="43" spans="1:14" ht="38.25" customHeight="1" x14ac:dyDescent="0.4">
      <c r="A43" s="9"/>
      <c r="B43" s="17" t="s">
        <v>31</v>
      </c>
      <c r="C43" s="373" t="s">
        <v>1227</v>
      </c>
      <c r="D43" s="374"/>
      <c r="E43" s="375"/>
      <c r="F43" s="13"/>
      <c r="G43" s="8"/>
      <c r="H43" s="8"/>
      <c r="I43" s="8"/>
      <c r="J43" s="8"/>
      <c r="K43" s="8"/>
      <c r="L43" s="8"/>
      <c r="M43" s="8"/>
      <c r="N43" s="8"/>
    </row>
    <row r="44" spans="1:14" x14ac:dyDescent="0.4">
      <c r="A44" s="9"/>
      <c r="B44" s="17" t="s">
        <v>32</v>
      </c>
      <c r="C44" s="446" t="s">
        <v>201</v>
      </c>
      <c r="D44" s="446"/>
      <c r="E44" s="446"/>
      <c r="F44" s="13"/>
      <c r="G44" s="8"/>
      <c r="H44" s="8"/>
      <c r="I44" s="8"/>
      <c r="J44" s="8"/>
      <c r="K44" s="8"/>
      <c r="L44" s="8"/>
      <c r="M44" s="8"/>
      <c r="N44" s="8"/>
    </row>
    <row r="45" spans="1:14" x14ac:dyDescent="0.4">
      <c r="A45" s="9"/>
      <c r="B45" s="363" t="s">
        <v>848</v>
      </c>
      <c r="C45" s="368"/>
      <c r="D45" s="368"/>
      <c r="E45" s="369"/>
      <c r="F45" s="13"/>
      <c r="G45" s="8"/>
      <c r="H45" s="8"/>
      <c r="I45" s="8"/>
      <c r="J45" s="8"/>
      <c r="K45" s="8"/>
      <c r="L45" s="8"/>
      <c r="M45" s="8"/>
      <c r="N45" s="8"/>
    </row>
    <row r="46" spans="1:14" x14ac:dyDescent="0.4">
      <c r="A46" s="2"/>
      <c r="B46" s="8"/>
      <c r="C46" s="8"/>
      <c r="D46" s="173"/>
      <c r="E46" s="13"/>
      <c r="F46" s="8"/>
      <c r="G46" s="8"/>
      <c r="H46" s="8"/>
      <c r="I46" s="8"/>
      <c r="J46" s="8"/>
      <c r="K46" s="8"/>
      <c r="L46" s="8"/>
      <c r="M46" s="8"/>
      <c r="N46" s="8"/>
    </row>
    <row r="47" spans="1:14" x14ac:dyDescent="0.4">
      <c r="A47" s="24">
        <v>9</v>
      </c>
      <c r="B47" s="376" t="s">
        <v>1085</v>
      </c>
      <c r="C47" s="365"/>
      <c r="D47" s="365"/>
      <c r="E47" s="365"/>
      <c r="F47" s="25"/>
      <c r="G47" s="11"/>
      <c r="H47" s="11"/>
      <c r="I47" s="11"/>
      <c r="J47" s="8"/>
      <c r="K47" s="8"/>
      <c r="L47" s="8"/>
      <c r="M47" s="8"/>
      <c r="N47" s="8"/>
    </row>
    <row r="48" spans="1:14" ht="38.450000000000003" x14ac:dyDescent="0.4">
      <c r="A48" s="24"/>
      <c r="B48" s="26" t="s">
        <v>37</v>
      </c>
      <c r="C48" s="27" t="s">
        <v>38</v>
      </c>
      <c r="D48" s="174" t="s">
        <v>39</v>
      </c>
      <c r="E48" s="27" t="s">
        <v>206</v>
      </c>
      <c r="F48" s="8"/>
      <c r="G48" s="8"/>
      <c r="H48" s="8"/>
      <c r="I48" s="8"/>
      <c r="J48" s="8"/>
      <c r="K48" s="8"/>
      <c r="L48" s="8"/>
      <c r="M48" s="8"/>
      <c r="N48" s="8"/>
    </row>
    <row r="49" spans="1:14" ht="162" customHeight="1" x14ac:dyDescent="0.4">
      <c r="A49" s="29"/>
      <c r="B49" s="78" t="s">
        <v>307</v>
      </c>
      <c r="C49" s="78" t="s">
        <v>1121</v>
      </c>
      <c r="D49" s="78" t="s">
        <v>1268</v>
      </c>
      <c r="E49" s="117" t="s">
        <v>83</v>
      </c>
      <c r="F49" s="8"/>
      <c r="G49" s="8"/>
      <c r="H49" s="8"/>
      <c r="I49" s="8"/>
      <c r="J49" s="8"/>
      <c r="K49" s="8"/>
      <c r="L49" s="8"/>
      <c r="M49" s="8"/>
      <c r="N49" s="8"/>
    </row>
    <row r="50" spans="1:14" x14ac:dyDescent="0.4">
      <c r="A50" s="31"/>
      <c r="B50" s="380" t="s">
        <v>849</v>
      </c>
      <c r="C50" s="381"/>
      <c r="D50" s="381"/>
      <c r="E50" s="382"/>
      <c r="F50" s="15"/>
      <c r="G50" s="15"/>
      <c r="H50" s="15"/>
      <c r="I50" s="8"/>
      <c r="J50" s="8"/>
      <c r="K50" s="8"/>
      <c r="L50" s="8"/>
      <c r="M50" s="8"/>
      <c r="N50" s="8"/>
    </row>
    <row r="51" spans="1:14" x14ac:dyDescent="0.4">
      <c r="A51" s="32"/>
      <c r="B51" s="62"/>
      <c r="C51" s="23"/>
      <c r="D51" s="173"/>
      <c r="E51" s="23"/>
      <c r="F51" s="15"/>
      <c r="G51" s="15"/>
      <c r="H51" s="15"/>
      <c r="I51" s="15"/>
      <c r="J51" s="8"/>
      <c r="K51" s="8"/>
      <c r="L51" s="8"/>
      <c r="M51" s="8"/>
      <c r="N51" s="8"/>
    </row>
    <row r="52" spans="1:14" x14ac:dyDescent="0.4">
      <c r="A52" s="24">
        <v>10</v>
      </c>
      <c r="B52" s="376" t="s">
        <v>1085</v>
      </c>
      <c r="C52" s="365"/>
      <c r="D52" s="365"/>
      <c r="E52" s="365"/>
      <c r="F52" s="15"/>
      <c r="G52" s="15"/>
      <c r="H52" s="15"/>
      <c r="I52" s="8"/>
      <c r="J52" s="8"/>
      <c r="K52" s="8"/>
      <c r="L52" s="8"/>
      <c r="M52" s="8"/>
      <c r="N52" s="8"/>
    </row>
    <row r="53" spans="1:14" x14ac:dyDescent="0.4">
      <c r="A53" s="29"/>
      <c r="B53" s="383" t="s">
        <v>43</v>
      </c>
      <c r="C53" s="385" t="s">
        <v>850</v>
      </c>
      <c r="D53" s="386"/>
      <c r="E53" s="387"/>
      <c r="F53" s="8"/>
      <c r="G53" s="8"/>
      <c r="H53" s="8"/>
      <c r="I53" s="8"/>
      <c r="J53" s="8"/>
      <c r="K53" s="1"/>
      <c r="L53" s="8"/>
      <c r="M53" s="8"/>
      <c r="N53" s="8"/>
    </row>
    <row r="54" spans="1:14" ht="38.25" customHeight="1" x14ac:dyDescent="0.4">
      <c r="A54" s="29"/>
      <c r="B54" s="384"/>
      <c r="C54" s="388"/>
      <c r="D54" s="389"/>
      <c r="E54" s="390"/>
      <c r="F54" s="8"/>
      <c r="G54" s="8"/>
      <c r="H54" s="8"/>
      <c r="I54" s="8"/>
      <c r="J54" s="8"/>
      <c r="K54" s="1"/>
      <c r="L54" s="8"/>
      <c r="M54" s="8"/>
      <c r="N54" s="8"/>
    </row>
    <row r="55" spans="1:14" ht="57" customHeight="1" x14ac:dyDescent="0.4">
      <c r="A55" s="24"/>
      <c r="B55" s="33" t="s">
        <v>44</v>
      </c>
      <c r="C55" s="391" t="s">
        <v>1268</v>
      </c>
      <c r="D55" s="391"/>
      <c r="E55" s="391"/>
      <c r="F55" s="8"/>
      <c r="G55" s="8"/>
      <c r="H55" s="8"/>
      <c r="I55" s="8"/>
      <c r="J55" s="8"/>
      <c r="K55" s="8"/>
      <c r="L55" s="8"/>
      <c r="M55" s="8"/>
      <c r="N55" s="8"/>
    </row>
    <row r="56" spans="1:14" x14ac:dyDescent="0.4">
      <c r="A56" s="29"/>
      <c r="B56" s="33" t="s">
        <v>45</v>
      </c>
      <c r="C56" s="471" t="s">
        <v>46</v>
      </c>
      <c r="D56" s="472"/>
      <c r="E56" s="473"/>
      <c r="F56" s="8"/>
      <c r="G56" s="8"/>
      <c r="H56" s="8"/>
      <c r="I56" s="8"/>
      <c r="J56" s="8"/>
      <c r="K56" s="34"/>
      <c r="L56" s="8"/>
      <c r="M56" s="8"/>
      <c r="N56" s="8"/>
    </row>
    <row r="57" spans="1:14" x14ac:dyDescent="0.4">
      <c r="A57" s="29"/>
      <c r="B57" s="480" t="s">
        <v>849</v>
      </c>
      <c r="C57" s="480"/>
      <c r="D57" s="480"/>
      <c r="E57" s="480"/>
      <c r="F57" s="8"/>
      <c r="G57" s="8"/>
      <c r="H57" s="8"/>
      <c r="I57" s="8"/>
      <c r="J57" s="8"/>
      <c r="K57" s="34"/>
      <c r="L57" s="8"/>
      <c r="M57" s="8"/>
      <c r="N57" s="8"/>
    </row>
    <row r="58" spans="1:14" x14ac:dyDescent="0.4">
      <c r="A58" s="35" t="s">
        <v>47</v>
      </c>
      <c r="B58" s="490" t="s">
        <v>48</v>
      </c>
      <c r="C58" s="491"/>
      <c r="D58" s="491"/>
      <c r="E58" s="492"/>
      <c r="F58" s="63"/>
      <c r="G58" s="63"/>
      <c r="H58" s="63"/>
      <c r="I58" s="63"/>
      <c r="J58" s="63"/>
      <c r="K58" s="63"/>
      <c r="L58" s="63"/>
      <c r="M58" s="63"/>
      <c r="N58" s="63"/>
    </row>
    <row r="59" spans="1:14" x14ac:dyDescent="0.4">
      <c r="A59" s="40"/>
      <c r="B59" s="41"/>
      <c r="C59" s="42"/>
      <c r="D59" s="175"/>
      <c r="E59" s="42"/>
      <c r="F59" s="42"/>
      <c r="G59" s="8"/>
      <c r="H59" s="8"/>
      <c r="I59" s="8"/>
      <c r="J59" s="8"/>
      <c r="K59" s="8"/>
      <c r="L59" s="8"/>
      <c r="M59" s="8"/>
      <c r="N59" s="8"/>
    </row>
    <row r="60" spans="1:14" x14ac:dyDescent="0.4">
      <c r="A60" s="9">
        <v>11</v>
      </c>
      <c r="B60" s="3" t="s">
        <v>49</v>
      </c>
      <c r="C60" s="393" t="s">
        <v>851</v>
      </c>
      <c r="D60" s="393"/>
      <c r="E60" s="393"/>
      <c r="F60" s="11"/>
      <c r="G60" s="11"/>
      <c r="H60" s="43"/>
      <c r="I60" s="11"/>
      <c r="J60" s="11"/>
      <c r="K60" s="8"/>
      <c r="L60" s="8"/>
      <c r="M60" s="8"/>
      <c r="N60" s="8"/>
    </row>
    <row r="61" spans="1:14" x14ac:dyDescent="0.4">
      <c r="A61" s="9"/>
      <c r="B61" s="15"/>
      <c r="C61" s="15"/>
      <c r="D61" s="170"/>
      <c r="E61" s="15"/>
      <c r="F61" s="15"/>
      <c r="G61" s="15"/>
      <c r="H61" s="44"/>
      <c r="I61" s="44"/>
      <c r="J61" s="15"/>
      <c r="K61" s="8"/>
      <c r="L61" s="8"/>
      <c r="M61" s="8"/>
      <c r="N61" s="8"/>
    </row>
    <row r="62" spans="1:14" x14ac:dyDescent="0.4">
      <c r="A62" s="9">
        <v>12</v>
      </c>
      <c r="B62" s="11" t="s">
        <v>51</v>
      </c>
      <c r="C62" s="11"/>
      <c r="D62" s="176"/>
      <c r="E62" s="43"/>
      <c r="F62" s="43"/>
      <c r="G62" s="11"/>
      <c r="H62" s="11"/>
      <c r="I62" s="11"/>
      <c r="J62" s="11"/>
      <c r="K62" s="11"/>
      <c r="L62" s="11"/>
      <c r="M62" s="11"/>
      <c r="N62" s="11"/>
    </row>
    <row r="63" spans="1:14" x14ac:dyDescent="0.4">
      <c r="A63" s="9"/>
      <c r="B63" s="11"/>
      <c r="C63" s="11"/>
      <c r="D63" s="176"/>
      <c r="E63" s="43"/>
      <c r="F63" s="43"/>
      <c r="G63" s="43"/>
      <c r="H63" s="11"/>
      <c r="I63" s="11"/>
      <c r="J63" s="11"/>
      <c r="K63" s="11"/>
      <c r="L63" s="11"/>
      <c r="M63" s="11"/>
      <c r="N63" s="11"/>
    </row>
    <row r="64" spans="1:14" x14ac:dyDescent="0.4">
      <c r="A64" s="9"/>
      <c r="B64" s="17" t="s">
        <v>52</v>
      </c>
      <c r="C64" s="446" t="s">
        <v>565</v>
      </c>
      <c r="D64" s="446"/>
      <c r="E64" s="446"/>
      <c r="F64" s="44"/>
      <c r="G64" s="44"/>
      <c r="H64" s="15"/>
      <c r="I64" s="15"/>
      <c r="J64" s="15"/>
      <c r="K64" s="15"/>
      <c r="L64" s="15"/>
      <c r="M64" s="15"/>
      <c r="N64" s="15"/>
    </row>
    <row r="65" spans="1:14" x14ac:dyDescent="0.4">
      <c r="A65" s="9"/>
      <c r="B65" s="15"/>
      <c r="C65" s="15"/>
      <c r="D65" s="236"/>
      <c r="E65" s="118"/>
      <c r="F65" s="15"/>
      <c r="G65" s="15"/>
      <c r="H65" s="15"/>
      <c r="I65" s="15"/>
      <c r="J65" s="15"/>
      <c r="K65" s="15"/>
      <c r="L65" s="15"/>
      <c r="M65" s="15"/>
      <c r="N65" s="15"/>
    </row>
    <row r="66" spans="1:14" x14ac:dyDescent="0.4">
      <c r="A66" s="9"/>
      <c r="B66" s="365" t="s">
        <v>53</v>
      </c>
      <c r="C66" s="366" t="s">
        <v>852</v>
      </c>
      <c r="D66" s="558" t="s">
        <v>271</v>
      </c>
      <c r="E66" s="403" t="s">
        <v>232</v>
      </c>
      <c r="F66" s="395" t="s">
        <v>626</v>
      </c>
      <c r="G66" s="396"/>
      <c r="H66" s="397"/>
      <c r="I66" s="398" t="s">
        <v>55</v>
      </c>
      <c r="J66" s="398"/>
      <c r="K66" s="398"/>
      <c r="L66" s="398" t="s">
        <v>56</v>
      </c>
      <c r="M66" s="398"/>
      <c r="N66" s="398"/>
    </row>
    <row r="67" spans="1:14" ht="38.450000000000003" x14ac:dyDescent="0.4">
      <c r="A67" s="2"/>
      <c r="B67" s="365"/>
      <c r="C67" s="402"/>
      <c r="D67" s="559"/>
      <c r="E67" s="404"/>
      <c r="F67" s="17" t="s">
        <v>57</v>
      </c>
      <c r="G67" s="17" t="s">
        <v>58</v>
      </c>
      <c r="H67" s="17" t="s">
        <v>59</v>
      </c>
      <c r="I67" s="17" t="s">
        <v>60</v>
      </c>
      <c r="J67" s="17" t="s">
        <v>58</v>
      </c>
      <c r="K67" s="17" t="s">
        <v>59</v>
      </c>
      <c r="L67" s="17" t="s">
        <v>60</v>
      </c>
      <c r="M67" s="17" t="s">
        <v>58</v>
      </c>
      <c r="N67" s="17" t="s">
        <v>59</v>
      </c>
    </row>
    <row r="68" spans="1:14" x14ac:dyDescent="0.4">
      <c r="A68" s="2"/>
      <c r="B68" s="17" t="s">
        <v>61</v>
      </c>
      <c r="C68" s="284">
        <v>42.1</v>
      </c>
      <c r="D68" s="101">
        <v>46.5</v>
      </c>
      <c r="E68" s="101">
        <v>59.15</v>
      </c>
      <c r="F68" s="101">
        <v>123.25</v>
      </c>
      <c r="G68" s="101">
        <v>144.80000000000001</v>
      </c>
      <c r="H68" s="101">
        <v>34.15</v>
      </c>
      <c r="I68" s="101">
        <v>161.19999999999999</v>
      </c>
      <c r="J68" s="101">
        <v>269</v>
      </c>
      <c r="K68" s="101">
        <v>77</v>
      </c>
      <c r="L68" s="101" t="s">
        <v>41</v>
      </c>
      <c r="M68" s="101" t="s">
        <v>41</v>
      </c>
      <c r="N68" s="101" t="s">
        <v>41</v>
      </c>
    </row>
    <row r="69" spans="1:14" x14ac:dyDescent="0.4">
      <c r="A69" s="2"/>
      <c r="B69" s="17" t="s">
        <v>216</v>
      </c>
      <c r="C69" s="284">
        <v>60135.78</v>
      </c>
      <c r="D69" s="101">
        <v>60433.45</v>
      </c>
      <c r="E69" s="101">
        <v>60395.63</v>
      </c>
      <c r="F69" s="101">
        <v>58568.51</v>
      </c>
      <c r="G69" s="101">
        <v>62245.43</v>
      </c>
      <c r="H69" s="101">
        <v>47204.5</v>
      </c>
      <c r="I69" s="101">
        <v>58991.519999999997</v>
      </c>
      <c r="J69" s="101">
        <v>63583.07</v>
      </c>
      <c r="K69" s="101">
        <v>50921.22</v>
      </c>
      <c r="L69" s="101" t="s">
        <v>41</v>
      </c>
      <c r="M69" s="101" t="s">
        <v>41</v>
      </c>
      <c r="N69" s="101" t="s">
        <v>41</v>
      </c>
    </row>
    <row r="70" spans="1:14" x14ac:dyDescent="0.4">
      <c r="A70" s="2"/>
      <c r="B70" s="17" t="s">
        <v>1087</v>
      </c>
      <c r="C70" s="546" t="s">
        <v>83</v>
      </c>
      <c r="D70" s="546"/>
      <c r="E70" s="546"/>
      <c r="F70" s="546"/>
      <c r="G70" s="546"/>
      <c r="H70" s="546"/>
      <c r="I70" s="546"/>
      <c r="J70" s="546"/>
      <c r="K70" s="546"/>
      <c r="L70" s="546"/>
      <c r="M70" s="546"/>
      <c r="N70" s="546"/>
    </row>
    <row r="71" spans="1:14" s="8" customFormat="1" ht="13.25" x14ac:dyDescent="0.4">
      <c r="A71" s="2"/>
      <c r="B71" s="399" t="s">
        <v>1095</v>
      </c>
      <c r="C71" s="399"/>
      <c r="D71" s="399"/>
      <c r="E71" s="399"/>
      <c r="F71" s="399"/>
      <c r="G71" s="399"/>
      <c r="H71" s="399"/>
      <c r="I71" s="399"/>
      <c r="J71" s="399"/>
      <c r="K71" s="399"/>
      <c r="L71" s="399"/>
      <c r="M71" s="399"/>
      <c r="N71" s="399"/>
    </row>
    <row r="72" spans="1:14" x14ac:dyDescent="0.4">
      <c r="A72" s="2"/>
      <c r="B72" s="545" t="s">
        <v>17</v>
      </c>
      <c r="C72" s="545"/>
      <c r="D72" s="545"/>
      <c r="E72" s="545"/>
      <c r="F72" s="545"/>
      <c r="G72" s="545"/>
      <c r="H72" s="545"/>
      <c r="I72" s="545"/>
      <c r="J72" s="545"/>
      <c r="K72" s="545"/>
      <c r="L72" s="545"/>
      <c r="M72" s="545"/>
      <c r="N72" s="545"/>
    </row>
    <row r="73" spans="1:14" x14ac:dyDescent="0.4">
      <c r="A73" s="2"/>
      <c r="B73" s="480" t="s">
        <v>63</v>
      </c>
      <c r="C73" s="480"/>
      <c r="D73" s="480"/>
      <c r="E73" s="480"/>
      <c r="F73" s="480"/>
      <c r="G73" s="480"/>
      <c r="H73" s="480"/>
      <c r="I73" s="480"/>
      <c r="J73" s="480"/>
      <c r="K73" s="480"/>
      <c r="L73" s="480"/>
      <c r="M73" s="480"/>
      <c r="N73" s="480"/>
    </row>
    <row r="74" spans="1:14" x14ac:dyDescent="0.4">
      <c r="A74" s="1"/>
      <c r="B74" s="474" t="s">
        <v>64</v>
      </c>
      <c r="C74" s="474"/>
      <c r="D74" s="474"/>
      <c r="E74" s="474"/>
      <c r="F74" s="474"/>
      <c r="G74" s="474"/>
      <c r="H74" s="474"/>
      <c r="I74" s="474"/>
      <c r="J74" s="474"/>
      <c r="K74" s="474"/>
      <c r="L74" s="474"/>
      <c r="M74" s="474"/>
      <c r="N74" s="474"/>
    </row>
    <row r="75" spans="1:14" x14ac:dyDescent="0.4">
      <c r="A75" s="2"/>
      <c r="B75" s="359" t="s">
        <v>358</v>
      </c>
      <c r="C75" s="359"/>
      <c r="D75" s="359"/>
      <c r="E75" s="359"/>
      <c r="F75" s="359"/>
      <c r="G75" s="359"/>
      <c r="H75" s="359"/>
      <c r="I75" s="359"/>
      <c r="J75" s="359"/>
      <c r="K75" s="359"/>
      <c r="L75" s="359"/>
      <c r="M75" s="359"/>
      <c r="N75" s="359"/>
    </row>
    <row r="76" spans="1:14" x14ac:dyDescent="0.4">
      <c r="A76" s="2"/>
      <c r="B76" s="359" t="s">
        <v>65</v>
      </c>
      <c r="C76" s="359"/>
      <c r="D76" s="359"/>
      <c r="E76" s="359"/>
      <c r="F76" s="359"/>
      <c r="G76" s="359"/>
      <c r="H76" s="359"/>
      <c r="I76" s="359"/>
      <c r="J76" s="359"/>
      <c r="K76" s="359"/>
      <c r="L76" s="359"/>
      <c r="M76" s="359"/>
      <c r="N76" s="359"/>
    </row>
    <row r="77" spans="1:14" x14ac:dyDescent="0.4">
      <c r="A77" s="2"/>
      <c r="B77" s="49"/>
      <c r="C77" s="49"/>
      <c r="D77" s="177"/>
      <c r="E77" s="49"/>
      <c r="F77" s="49"/>
      <c r="G77" s="13"/>
      <c r="H77" s="13"/>
      <c r="I77" s="13"/>
      <c r="J77" s="13"/>
      <c r="K77" s="13"/>
      <c r="L77" s="13" t="s">
        <v>693</v>
      </c>
      <c r="M77" s="13"/>
      <c r="N77" s="13"/>
    </row>
    <row r="78" spans="1:14" x14ac:dyDescent="0.4">
      <c r="A78" s="9">
        <v>13</v>
      </c>
      <c r="B78" s="405" t="s">
        <v>66</v>
      </c>
      <c r="C78" s="406"/>
      <c r="D78" s="406"/>
      <c r="E78" s="406"/>
      <c r="F78" s="406"/>
      <c r="G78" s="376"/>
      <c r="H78" s="11"/>
      <c r="I78" s="11"/>
      <c r="J78" s="11"/>
      <c r="K78" s="11"/>
      <c r="L78" s="11"/>
      <c r="M78" s="11"/>
      <c r="N78" s="11"/>
    </row>
    <row r="79" spans="1:14" ht="25.65" x14ac:dyDescent="0.4">
      <c r="A79" s="2"/>
      <c r="B79" s="50" t="s">
        <v>67</v>
      </c>
      <c r="C79" s="18" t="s">
        <v>68</v>
      </c>
      <c r="D79" s="171" t="s">
        <v>1127</v>
      </c>
      <c r="E79" s="18" t="s">
        <v>218</v>
      </c>
      <c r="F79" s="18" t="s">
        <v>71</v>
      </c>
      <c r="G79" s="18" t="s">
        <v>107</v>
      </c>
      <c r="H79" s="13"/>
      <c r="I79" s="13"/>
      <c r="J79" s="13"/>
      <c r="K79" s="13"/>
      <c r="L79" s="13"/>
      <c r="M79" s="13"/>
      <c r="N79" s="13"/>
    </row>
    <row r="80" spans="1:14" ht="25.55" customHeight="1" x14ac:dyDescent="0.4">
      <c r="A80" s="2"/>
      <c r="B80" s="394" t="s">
        <v>72</v>
      </c>
      <c r="C80" s="3" t="s">
        <v>853</v>
      </c>
      <c r="D80" s="284">
        <v>4.3099999999999996</v>
      </c>
      <c r="E80" s="284">
        <v>14.67</v>
      </c>
      <c r="F80" s="66">
        <v>12.96</v>
      </c>
      <c r="G80" s="435" t="s">
        <v>220</v>
      </c>
      <c r="H80" s="53"/>
      <c r="I80" s="53"/>
      <c r="J80" s="53"/>
      <c r="K80" s="53"/>
      <c r="L80" s="53"/>
      <c r="M80" s="53"/>
      <c r="N80" s="53"/>
    </row>
    <row r="81" spans="1:14" x14ac:dyDescent="0.4">
      <c r="A81" s="2"/>
      <c r="B81" s="394"/>
      <c r="C81" s="3" t="s">
        <v>765</v>
      </c>
      <c r="D81" s="284"/>
      <c r="E81" s="284"/>
      <c r="F81" s="66"/>
      <c r="G81" s="436"/>
      <c r="H81" s="53"/>
      <c r="I81" s="53"/>
      <c r="J81" s="53"/>
      <c r="K81" s="53"/>
      <c r="L81" s="53"/>
      <c r="M81" s="53"/>
      <c r="N81" s="53"/>
    </row>
    <row r="82" spans="1:14" ht="26.5" x14ac:dyDescent="0.4">
      <c r="A82" s="2"/>
      <c r="B82" s="394"/>
      <c r="C82" s="21" t="s">
        <v>854</v>
      </c>
      <c r="D82" s="284">
        <v>2.63</v>
      </c>
      <c r="E82" s="284">
        <v>4.6162729126125264</v>
      </c>
      <c r="F82" s="66">
        <v>9.18</v>
      </c>
      <c r="G82" s="436"/>
      <c r="H82" s="53"/>
      <c r="I82" s="53"/>
      <c r="J82" s="53"/>
      <c r="K82" s="53"/>
      <c r="L82" s="53"/>
      <c r="M82" s="53"/>
      <c r="N82" s="53"/>
    </row>
    <row r="83" spans="1:14" x14ac:dyDescent="0.4">
      <c r="A83" s="2"/>
      <c r="B83" s="394"/>
      <c r="C83" s="21" t="s">
        <v>855</v>
      </c>
      <c r="D83" s="284">
        <v>20.12</v>
      </c>
      <c r="E83" s="284">
        <v>23.960993788819877</v>
      </c>
      <c r="F83" s="66">
        <v>28.92</v>
      </c>
      <c r="G83" s="436"/>
      <c r="H83" s="53"/>
      <c r="I83" s="53"/>
      <c r="J83" s="53"/>
      <c r="K83" s="53"/>
      <c r="L83" s="53"/>
      <c r="M83" s="53"/>
      <c r="N83" s="53"/>
    </row>
    <row r="84" spans="1:14" x14ac:dyDescent="0.4">
      <c r="A84" s="2"/>
      <c r="B84" s="394"/>
      <c r="C84" s="21" t="s">
        <v>856</v>
      </c>
      <c r="D84" s="284">
        <v>200.73</v>
      </c>
      <c r="E84" s="284">
        <v>270.27863690049838</v>
      </c>
      <c r="F84" s="66">
        <v>53.12</v>
      </c>
      <c r="G84" s="436"/>
      <c r="H84" s="53"/>
      <c r="I84" s="53"/>
      <c r="J84" s="53"/>
      <c r="K84" s="53"/>
      <c r="L84" s="53"/>
      <c r="M84" s="53"/>
      <c r="N84" s="53"/>
    </row>
    <row r="85" spans="1:14" x14ac:dyDescent="0.4">
      <c r="A85" s="2"/>
      <c r="B85" s="394"/>
      <c r="C85" s="21" t="s">
        <v>857</v>
      </c>
      <c r="D85" s="284">
        <v>15.62</v>
      </c>
      <c r="E85" s="284">
        <v>25.212035487250162</v>
      </c>
      <c r="F85" s="66">
        <v>0.28000000000000003</v>
      </c>
      <c r="G85" s="436"/>
      <c r="H85" s="53"/>
      <c r="I85" s="53"/>
      <c r="J85" s="53"/>
      <c r="K85" s="53"/>
      <c r="L85" s="53"/>
      <c r="M85" s="53"/>
      <c r="N85" s="53"/>
    </row>
    <row r="86" spans="1:14" x14ac:dyDescent="0.4">
      <c r="A86" s="2"/>
      <c r="B86" s="394"/>
      <c r="C86" s="3" t="s">
        <v>74</v>
      </c>
      <c r="D86" s="284">
        <f>AVERAGE(D82:D85)</f>
        <v>59.774999999999999</v>
      </c>
      <c r="E86" s="284">
        <f>AVERAGE(E82:E85)</f>
        <v>81.016984772295231</v>
      </c>
      <c r="F86" s="66">
        <f>AVERAGE(F82:F85)</f>
        <v>22.875</v>
      </c>
      <c r="G86" s="436"/>
      <c r="H86" s="53"/>
      <c r="I86" s="53"/>
      <c r="J86" s="53"/>
      <c r="K86" s="53"/>
      <c r="L86" s="53"/>
      <c r="M86" s="53"/>
      <c r="N86" s="53"/>
    </row>
    <row r="87" spans="1:14" ht="53" x14ac:dyDescent="0.4">
      <c r="A87" s="2"/>
      <c r="B87" s="394" t="s">
        <v>75</v>
      </c>
      <c r="C87" s="3" t="s">
        <v>853</v>
      </c>
      <c r="D87" s="284">
        <v>9.2799999999999994</v>
      </c>
      <c r="E87" s="284">
        <f>F68/E80</f>
        <v>8.4014996591683708</v>
      </c>
      <c r="F87" s="66">
        <v>12.44</v>
      </c>
      <c r="G87" s="436"/>
      <c r="H87" s="53"/>
      <c r="I87" s="53"/>
      <c r="J87" s="53"/>
      <c r="K87" s="53"/>
      <c r="L87" s="53"/>
      <c r="M87" s="53"/>
      <c r="N87" s="53"/>
    </row>
    <row r="88" spans="1:14" x14ac:dyDescent="0.4">
      <c r="A88" s="2"/>
      <c r="B88" s="394"/>
      <c r="C88" s="3" t="s">
        <v>73</v>
      </c>
      <c r="D88" s="284"/>
      <c r="E88" s="284"/>
      <c r="F88" s="66"/>
      <c r="G88" s="436"/>
      <c r="H88" s="53"/>
      <c r="I88" s="53"/>
      <c r="J88" s="53"/>
      <c r="K88" s="53"/>
      <c r="L88" s="53"/>
      <c r="M88" s="53"/>
      <c r="N88" s="53"/>
    </row>
    <row r="89" spans="1:14" ht="26.5" x14ac:dyDescent="0.4">
      <c r="A89" s="2"/>
      <c r="B89" s="394"/>
      <c r="C89" s="21" t="s">
        <v>854</v>
      </c>
      <c r="D89" s="284">
        <v>14.64</v>
      </c>
      <c r="E89" s="284">
        <v>12.618621072038801</v>
      </c>
      <c r="F89" s="70">
        <f>102.8/F82</f>
        <v>11.198257080610022</v>
      </c>
      <c r="G89" s="436"/>
      <c r="H89" s="53"/>
      <c r="I89" s="53"/>
      <c r="J89" s="53"/>
      <c r="K89" s="53"/>
      <c r="L89" s="53"/>
      <c r="M89" s="53"/>
      <c r="N89" s="53"/>
    </row>
    <row r="90" spans="1:14" x14ac:dyDescent="0.4">
      <c r="A90" s="2"/>
      <c r="B90" s="394"/>
      <c r="C90" s="21" t="s">
        <v>855</v>
      </c>
      <c r="D90" s="284">
        <v>11.34</v>
      </c>
      <c r="E90" s="284">
        <v>10.540593580933701</v>
      </c>
      <c r="F90" s="70">
        <f>393.7/F83</f>
        <v>13.6134163208852</v>
      </c>
      <c r="G90" s="436"/>
      <c r="H90" s="53"/>
      <c r="I90" s="53"/>
      <c r="J90" s="53"/>
      <c r="K90" s="53"/>
      <c r="L90" s="53"/>
      <c r="M90" s="53"/>
      <c r="N90" s="53"/>
    </row>
    <row r="91" spans="1:14" x14ac:dyDescent="0.4">
      <c r="A91" s="2"/>
      <c r="B91" s="394"/>
      <c r="C91" s="21" t="s">
        <v>856</v>
      </c>
      <c r="D91" s="284">
        <v>9.98</v>
      </c>
      <c r="E91" s="284">
        <v>9.1844439968444505</v>
      </c>
      <c r="F91" s="70">
        <f>791.95/F84</f>
        <v>14.908697289156628</v>
      </c>
      <c r="G91" s="436"/>
      <c r="H91" s="53"/>
      <c r="I91" s="53"/>
      <c r="J91" s="53"/>
      <c r="K91" s="53"/>
      <c r="L91" s="53"/>
      <c r="M91" s="53"/>
      <c r="N91" s="53"/>
    </row>
    <row r="92" spans="1:14" x14ac:dyDescent="0.4">
      <c r="A92" s="2"/>
      <c r="B92" s="394"/>
      <c r="C92" s="21" t="s">
        <v>857</v>
      </c>
      <c r="D92" s="284">
        <v>7.87</v>
      </c>
      <c r="E92" s="284">
        <v>9.5378428320184092</v>
      </c>
      <c r="F92" s="70">
        <f>25/F85</f>
        <v>89.285714285714278</v>
      </c>
      <c r="G92" s="436"/>
      <c r="H92" s="53"/>
      <c r="I92" s="53" t="s">
        <v>693</v>
      </c>
      <c r="J92" s="53"/>
      <c r="K92" s="53"/>
      <c r="L92" s="53"/>
      <c r="M92" s="53"/>
      <c r="N92" s="53"/>
    </row>
    <row r="93" spans="1:14" x14ac:dyDescent="0.4">
      <c r="A93" s="2"/>
      <c r="B93" s="394"/>
      <c r="C93" s="3" t="s">
        <v>74</v>
      </c>
      <c r="D93" s="284">
        <f t="shared" ref="D93:E93" si="0">AVERAGE(D89:D92)</f>
        <v>10.9575</v>
      </c>
      <c r="E93" s="284">
        <f t="shared" si="0"/>
        <v>10.470375370458839</v>
      </c>
      <c r="F93" s="70">
        <f>AVERAGE(F89:F92)</f>
        <v>32.251521244091535</v>
      </c>
      <c r="G93" s="436"/>
      <c r="H93" s="53"/>
      <c r="I93" s="53"/>
      <c r="J93" s="53"/>
      <c r="K93" s="53"/>
      <c r="L93" s="53"/>
      <c r="M93" s="53"/>
      <c r="N93" s="53"/>
    </row>
    <row r="94" spans="1:14" ht="53" x14ac:dyDescent="0.4">
      <c r="A94" s="2"/>
      <c r="B94" s="394" t="s">
        <v>76</v>
      </c>
      <c r="C94" s="3" t="s">
        <v>853</v>
      </c>
      <c r="D94" s="284">
        <v>0.26</v>
      </c>
      <c r="E94" s="284">
        <f>1407.25/5289.7</f>
        <v>0.26603588105185549</v>
      </c>
      <c r="F94" s="71">
        <f>1433.51/6612.78</f>
        <v>0.21677872241326643</v>
      </c>
      <c r="G94" s="436"/>
      <c r="H94" s="178"/>
      <c r="I94" s="53"/>
      <c r="J94" s="53"/>
      <c r="K94" s="53"/>
      <c r="L94" s="53"/>
      <c r="M94" s="53"/>
      <c r="N94" s="53"/>
    </row>
    <row r="95" spans="1:14" x14ac:dyDescent="0.4">
      <c r="A95" s="2"/>
      <c r="B95" s="394"/>
      <c r="C95" s="3" t="s">
        <v>73</v>
      </c>
      <c r="D95" s="284"/>
      <c r="E95" s="284"/>
      <c r="F95" s="66"/>
      <c r="G95" s="436"/>
      <c r="H95" s="53"/>
      <c r="I95" s="53"/>
      <c r="J95" s="53"/>
      <c r="K95" s="53"/>
      <c r="L95" s="53"/>
      <c r="M95" s="53"/>
      <c r="N95" s="53"/>
    </row>
    <row r="96" spans="1:14" ht="26.5" x14ac:dyDescent="0.4">
      <c r="A96" s="2"/>
      <c r="B96" s="394"/>
      <c r="C96" s="21" t="s">
        <v>854</v>
      </c>
      <c r="D96" s="284">
        <v>11.42</v>
      </c>
      <c r="E96" s="284">
        <v>16.0764679271619</v>
      </c>
      <c r="F96" s="71">
        <f>13240.69/65060.86</f>
        <v>0.20351237287671883</v>
      </c>
      <c r="G96" s="436"/>
      <c r="H96" s="53"/>
      <c r="I96" s="53"/>
      <c r="J96" s="53"/>
      <c r="K96" s="53"/>
      <c r="L96" s="53"/>
      <c r="M96" s="53"/>
      <c r="N96" s="53"/>
    </row>
    <row r="97" spans="1:14" x14ac:dyDescent="0.4">
      <c r="A97" s="2"/>
      <c r="B97" s="394"/>
      <c r="C97" s="21" t="s">
        <v>855</v>
      </c>
      <c r="D97" s="284">
        <v>15.58</v>
      </c>
      <c r="E97" s="284">
        <v>16.821322630224198</v>
      </c>
      <c r="F97" s="71">
        <f>6435.45/49031.12</f>
        <v>0.13125235564678106</v>
      </c>
      <c r="G97" s="436"/>
      <c r="H97" s="53"/>
      <c r="I97" s="53"/>
      <c r="J97" s="53"/>
      <c r="K97" s="53"/>
      <c r="L97" s="53"/>
      <c r="M97" s="53"/>
      <c r="N97" s="53"/>
    </row>
    <row r="98" spans="1:14" x14ac:dyDescent="0.4">
      <c r="A98" s="2"/>
      <c r="B98" s="394"/>
      <c r="C98" s="21" t="s">
        <v>856</v>
      </c>
      <c r="D98" s="284">
        <v>30.34</v>
      </c>
      <c r="E98" s="284">
        <v>32.288248543142899</v>
      </c>
      <c r="F98" s="71">
        <f>1700.5/31951.97</f>
        <v>5.3220505652703101E-2</v>
      </c>
      <c r="G98" s="436"/>
      <c r="H98" s="53"/>
      <c r="I98" s="53"/>
      <c r="J98" s="53"/>
      <c r="K98" s="53"/>
      <c r="L98" s="53"/>
      <c r="M98" s="53"/>
      <c r="N98" s="53"/>
    </row>
    <row r="99" spans="1:14" x14ac:dyDescent="0.4">
      <c r="A99" s="2"/>
      <c r="B99" s="394"/>
      <c r="C99" s="21" t="s">
        <v>857</v>
      </c>
      <c r="D99" s="284">
        <v>0.31680000000000003</v>
      </c>
      <c r="E99" s="284">
        <v>37.677599579778096</v>
      </c>
      <c r="F99" s="71">
        <f>223.55/12580.03</f>
        <v>1.7770227892938251E-2</v>
      </c>
      <c r="G99" s="436"/>
      <c r="H99" s="53"/>
      <c r="I99" s="53"/>
      <c r="J99" s="53"/>
      <c r="K99" s="53"/>
      <c r="L99" s="53"/>
      <c r="M99" s="53"/>
      <c r="N99" s="53"/>
    </row>
    <row r="100" spans="1:14" x14ac:dyDescent="0.4">
      <c r="A100" s="2"/>
      <c r="B100" s="394"/>
      <c r="C100" s="3" t="s">
        <v>74</v>
      </c>
      <c r="D100" s="284">
        <f t="shared" ref="D100:E100" si="1">AVERAGE(D96:D99)</f>
        <v>14.414200000000001</v>
      </c>
      <c r="E100" s="284">
        <f t="shared" si="1"/>
        <v>25.715909670076776</v>
      </c>
      <c r="F100" s="70">
        <f>AVERAGE(F96:F99)</f>
        <v>0.10143886551728531</v>
      </c>
      <c r="G100" s="436"/>
      <c r="H100" s="53"/>
      <c r="I100" s="53"/>
      <c r="J100" s="53"/>
      <c r="K100" s="53"/>
      <c r="L100" s="53"/>
      <c r="M100" s="53"/>
      <c r="N100" s="53"/>
    </row>
    <row r="101" spans="1:14" ht="53" x14ac:dyDescent="0.4">
      <c r="A101" s="2"/>
      <c r="B101" s="394" t="s">
        <v>77</v>
      </c>
      <c r="C101" s="3" t="s">
        <v>853</v>
      </c>
      <c r="D101" s="284">
        <v>16.59</v>
      </c>
      <c r="E101" s="284">
        <f>(5289.87*100000)/11059664</f>
        <v>47.830295748586934</v>
      </c>
      <c r="F101" s="70">
        <f>6612.78/110.59</f>
        <v>59.795460710733337</v>
      </c>
      <c r="G101" s="436"/>
      <c r="H101" s="179"/>
      <c r="I101" s="53" t="s">
        <v>693</v>
      </c>
      <c r="J101" s="53"/>
      <c r="K101" s="53"/>
      <c r="L101" s="53"/>
      <c r="M101" s="53"/>
      <c r="N101" s="53"/>
    </row>
    <row r="102" spans="1:14" x14ac:dyDescent="0.4">
      <c r="A102" s="2"/>
      <c r="B102" s="394"/>
      <c r="C102" s="3" t="s">
        <v>73</v>
      </c>
      <c r="D102" s="284"/>
      <c r="E102" s="284"/>
      <c r="F102" s="66"/>
      <c r="G102" s="436"/>
      <c r="H102" s="53"/>
      <c r="I102" s="53"/>
      <c r="J102" s="53"/>
      <c r="K102" s="53"/>
      <c r="L102" s="53"/>
      <c r="M102" s="53"/>
      <c r="N102" s="53"/>
    </row>
    <row r="103" spans="1:14" ht="26.5" x14ac:dyDescent="0.4">
      <c r="A103" s="2"/>
      <c r="B103" s="411"/>
      <c r="C103" s="21" t="s">
        <v>854</v>
      </c>
      <c r="D103" s="284">
        <v>23.01</v>
      </c>
      <c r="E103" s="284">
        <v>1.5917401564678324</v>
      </c>
      <c r="F103" s="70">
        <f>65060.86/1475.43</f>
        <v>44.096202463010783</v>
      </c>
      <c r="G103" s="436"/>
      <c r="H103" s="53"/>
      <c r="I103" s="53"/>
      <c r="J103" s="53"/>
      <c r="K103" s="53"/>
      <c r="L103" s="53"/>
      <c r="M103" s="53"/>
      <c r="N103" s="53"/>
    </row>
    <row r="104" spans="1:14" x14ac:dyDescent="0.4">
      <c r="A104" s="2"/>
      <c r="B104" s="411"/>
      <c r="C104" s="21" t="s">
        <v>855</v>
      </c>
      <c r="D104" s="284">
        <v>120.22</v>
      </c>
      <c r="E104" s="284">
        <v>48.729068322981369</v>
      </c>
      <c r="F104" s="70">
        <f>49031.12/241.5</f>
        <v>203.02741200828157</v>
      </c>
      <c r="G104" s="436"/>
      <c r="H104" s="53"/>
      <c r="I104" s="53"/>
      <c r="J104" s="53"/>
      <c r="K104" s="53"/>
      <c r="L104" s="53"/>
      <c r="M104" s="53"/>
      <c r="N104" s="53"/>
    </row>
    <row r="105" spans="1:14" x14ac:dyDescent="0.4">
      <c r="A105" s="2"/>
      <c r="B105" s="411"/>
      <c r="C105" s="21" t="s">
        <v>856</v>
      </c>
      <c r="D105" s="284">
        <v>661.42</v>
      </c>
      <c r="E105" s="284">
        <v>2352.756813157207</v>
      </c>
      <c r="F105" s="70">
        <f>31951.97/32.01</f>
        <v>998.18712902218067</v>
      </c>
      <c r="G105" s="436"/>
      <c r="H105" s="53"/>
      <c r="I105" s="53"/>
      <c r="J105" s="53"/>
      <c r="K105" s="53"/>
      <c r="L105" s="53"/>
      <c r="M105" s="53"/>
      <c r="N105" s="53"/>
    </row>
    <row r="106" spans="1:14" x14ac:dyDescent="0.4">
      <c r="A106" s="2"/>
      <c r="B106" s="411"/>
      <c r="C106" s="21" t="s">
        <v>857</v>
      </c>
      <c r="D106" s="284">
        <v>49.3</v>
      </c>
      <c r="E106" s="284">
        <v>30.62834699042984</v>
      </c>
      <c r="F106" s="70">
        <f>12580.03/804.83</f>
        <v>15.630667345899134</v>
      </c>
      <c r="G106" s="436"/>
      <c r="H106" s="53"/>
      <c r="I106" s="53"/>
      <c r="J106" s="53"/>
      <c r="K106" s="53" t="s">
        <v>693</v>
      </c>
      <c r="L106" s="53"/>
      <c r="M106" s="53"/>
      <c r="N106" s="53"/>
    </row>
    <row r="107" spans="1:14" x14ac:dyDescent="0.4">
      <c r="A107" s="2"/>
      <c r="B107" s="411"/>
      <c r="C107" s="3" t="s">
        <v>74</v>
      </c>
      <c r="D107" s="284">
        <f t="shared" ref="D107:E107" si="2">AVERAGE(D103:D106)</f>
        <v>213.48749999999998</v>
      </c>
      <c r="E107" s="284">
        <f t="shared" si="2"/>
        <v>608.42649215677147</v>
      </c>
      <c r="F107" s="70">
        <f>AVERAGE(F103:F106)</f>
        <v>315.23535270984303</v>
      </c>
      <c r="G107" s="436"/>
      <c r="H107" s="53"/>
      <c r="I107" s="53"/>
      <c r="J107" s="53"/>
      <c r="K107" s="53"/>
      <c r="L107" s="53"/>
      <c r="M107" s="53"/>
      <c r="N107" s="53"/>
    </row>
    <row r="108" spans="1:14" x14ac:dyDescent="0.4">
      <c r="A108" s="2"/>
      <c r="B108" s="415" t="s">
        <v>858</v>
      </c>
      <c r="C108" s="416"/>
      <c r="D108" s="416"/>
      <c r="E108" s="416"/>
      <c r="F108" s="416"/>
      <c r="G108" s="417"/>
      <c r="H108" s="53"/>
      <c r="I108" s="53"/>
      <c r="J108" s="53"/>
      <c r="K108" s="53"/>
      <c r="L108" s="53"/>
      <c r="M108" s="53"/>
      <c r="N108" s="53"/>
    </row>
    <row r="109" spans="1:14" x14ac:dyDescent="0.4">
      <c r="A109" s="2"/>
      <c r="B109" s="418" t="s">
        <v>85</v>
      </c>
      <c r="C109" s="419"/>
      <c r="D109" s="419"/>
      <c r="E109" s="419"/>
      <c r="F109" s="419"/>
      <c r="G109" s="420"/>
      <c r="H109" s="53"/>
      <c r="I109" s="53"/>
      <c r="J109" s="53"/>
      <c r="K109" s="53"/>
      <c r="L109" s="53"/>
      <c r="M109" s="53"/>
      <c r="N109" s="53"/>
    </row>
    <row r="110" spans="1:14" x14ac:dyDescent="0.4">
      <c r="A110" s="9">
        <v>14</v>
      </c>
      <c r="B110" s="61" t="s">
        <v>78</v>
      </c>
      <c r="C110" s="356" t="s">
        <v>41</v>
      </c>
      <c r="D110" s="357"/>
      <c r="E110" s="357"/>
      <c r="F110" s="357"/>
      <c r="G110" s="408"/>
      <c r="H110" s="8"/>
      <c r="I110" s="8"/>
      <c r="J110" s="8"/>
      <c r="K110" s="8"/>
      <c r="L110" s="8"/>
      <c r="M110" s="8"/>
      <c r="N110" s="8"/>
    </row>
    <row r="111" spans="1:14" ht="15.05" customHeight="1" x14ac:dyDescent="0.4">
      <c r="A111" s="8"/>
      <c r="B111" s="548" t="s">
        <v>859</v>
      </c>
      <c r="C111" s="549"/>
      <c r="D111" s="549"/>
      <c r="E111" s="549"/>
      <c r="F111" s="549"/>
      <c r="G111" s="549"/>
      <c r="H111" s="295"/>
      <c r="I111" s="8"/>
      <c r="J111" s="8"/>
      <c r="K111" s="8"/>
      <c r="L111" s="8"/>
      <c r="M111" s="8"/>
      <c r="N111" s="8"/>
    </row>
    <row r="113" spans="2:8" x14ac:dyDescent="0.4">
      <c r="B113" s="448" t="s">
        <v>1234</v>
      </c>
      <c r="C113" s="449"/>
      <c r="D113" s="449"/>
      <c r="E113" s="449"/>
      <c r="F113" s="449"/>
      <c r="G113" s="449"/>
      <c r="H113" s="295"/>
    </row>
    <row r="114" spans="2:8" x14ac:dyDescent="0.4">
      <c r="C114" s="228"/>
      <c r="D114" s="228"/>
    </row>
    <row r="116" spans="2:8" x14ac:dyDescent="0.4">
      <c r="C116" s="228"/>
      <c r="D116" s="228"/>
    </row>
    <row r="118" spans="2:8" x14ac:dyDescent="0.4">
      <c r="C118" s="228"/>
    </row>
  </sheetData>
  <sheetProtection algorithmName="SHA-512" hashValue="y4nRpJZu9/TV3obbCarjBc0dLoGUc2Q4hxD50Ek5pdK55/RU4B4PNekETxfoNCmgNEMunmXZY/ZXVGaPKS84Rw==" saltValue="U3ZpRvpFJlOcZSskDWYFJQ==" spinCount="100000" sheet="1" objects="1" scenarios="1"/>
  <mergeCells count="66">
    <mergeCell ref="B73:N73"/>
    <mergeCell ref="B71:N71"/>
    <mergeCell ref="C110:G110"/>
    <mergeCell ref="B75:N75"/>
    <mergeCell ref="B76:N76"/>
    <mergeCell ref="B78:G78"/>
    <mergeCell ref="B80:B86"/>
    <mergeCell ref="G80:G107"/>
    <mergeCell ref="B87:B93"/>
    <mergeCell ref="B94:B100"/>
    <mergeCell ref="B108:G108"/>
    <mergeCell ref="B109:G109"/>
    <mergeCell ref="C64:E64"/>
    <mergeCell ref="F66:H66"/>
    <mergeCell ref="I66:K66"/>
    <mergeCell ref="L66:N66"/>
    <mergeCell ref="B72:N72"/>
    <mergeCell ref="B32:E32"/>
    <mergeCell ref="B34:E34"/>
    <mergeCell ref="B41:E41"/>
    <mergeCell ref="C42:E42"/>
    <mergeCell ref="C43:E43"/>
    <mergeCell ref="C35:E35"/>
    <mergeCell ref="C36:E36"/>
    <mergeCell ref="C37:E37"/>
    <mergeCell ref="B38:E38"/>
    <mergeCell ref="B12:E12"/>
    <mergeCell ref="C14:E14"/>
    <mergeCell ref="B15:E15"/>
    <mergeCell ref="C11:E11"/>
    <mergeCell ref="A1:B1"/>
    <mergeCell ref="C5:E5"/>
    <mergeCell ref="C3:E3"/>
    <mergeCell ref="B6:E6"/>
    <mergeCell ref="C8:E8"/>
    <mergeCell ref="B9:E9"/>
    <mergeCell ref="E28:E31"/>
    <mergeCell ref="B17:E17"/>
    <mergeCell ref="C18:E18"/>
    <mergeCell ref="C19:E19"/>
    <mergeCell ref="C20:E20"/>
    <mergeCell ref="C21:E21"/>
    <mergeCell ref="C22:E22"/>
    <mergeCell ref="B25:E25"/>
    <mergeCell ref="B26:E26"/>
    <mergeCell ref="B111:G111"/>
    <mergeCell ref="B113:G113"/>
    <mergeCell ref="C70:N70"/>
    <mergeCell ref="B53:B54"/>
    <mergeCell ref="C53:E54"/>
    <mergeCell ref="B101:B107"/>
    <mergeCell ref="B74:N74"/>
    <mergeCell ref="C55:E55"/>
    <mergeCell ref="C56:E56"/>
    <mergeCell ref="B57:E57"/>
    <mergeCell ref="B58:E58"/>
    <mergeCell ref="C60:E60"/>
    <mergeCell ref="B66:B67"/>
    <mergeCell ref="C66:C67"/>
    <mergeCell ref="D66:D67"/>
    <mergeCell ref="E66:E67"/>
    <mergeCell ref="C44:E44"/>
    <mergeCell ref="B45:E45"/>
    <mergeCell ref="B47:E47"/>
    <mergeCell ref="B50:E50"/>
    <mergeCell ref="B52:E52"/>
  </mergeCells>
  <pageMargins left="0" right="0" top="0.42499999999999999" bottom="0.75" header="0.10625" footer="0.3"/>
  <pageSetup paperSize="5" scale="75" orientation="landscape" verticalDpi="300" r:id="rId1"/>
  <rowBreaks count="2" manualBreakCount="2">
    <brk id="42" max="16383" man="1"/>
    <brk id="7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3"/>
  <sheetViews>
    <sheetView topLeftCell="G40" workbookViewId="0">
      <selection activeCell="C57" sqref="C57:E57"/>
    </sheetView>
  </sheetViews>
  <sheetFormatPr defaultColWidth="8.84375" defaultRowHeight="13.25" x14ac:dyDescent="0.4"/>
  <cols>
    <col min="1" max="1" width="8.84375" style="8"/>
    <col min="2" max="2" width="40.3046875" style="8" customWidth="1"/>
    <col min="3" max="3" width="43.53515625" style="8" customWidth="1"/>
    <col min="4" max="4" width="15.84375" style="8" customWidth="1"/>
    <col min="5" max="5" width="22.3046875" style="8" customWidth="1"/>
    <col min="6" max="6" width="16.69140625" style="8" bestFit="1" customWidth="1"/>
    <col min="7" max="7" width="22.3046875" style="8" customWidth="1"/>
    <col min="8" max="16384" width="8.84375" style="8"/>
  </cols>
  <sheetData>
    <row r="1" spans="1:5" ht="14.35" customHeight="1" x14ac:dyDescent="0.4">
      <c r="A1" s="355" t="s">
        <v>0</v>
      </c>
      <c r="B1" s="355"/>
      <c r="D1" s="1"/>
    </row>
    <row r="3" spans="1:5" ht="32.25" customHeight="1" x14ac:dyDescent="0.4">
      <c r="A3" s="2" t="s">
        <v>1</v>
      </c>
      <c r="B3" s="3" t="s">
        <v>2</v>
      </c>
      <c r="C3" s="4" t="s">
        <v>179</v>
      </c>
    </row>
    <row r="4" spans="1:5" x14ac:dyDescent="0.4">
      <c r="D4" s="5"/>
    </row>
    <row r="5" spans="1:5" ht="21" customHeight="1" x14ac:dyDescent="0.4">
      <c r="A5" s="6">
        <v>1</v>
      </c>
      <c r="B5" s="7" t="s">
        <v>3</v>
      </c>
      <c r="C5" s="356" t="s">
        <v>4</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180</v>
      </c>
      <c r="D8" s="5"/>
    </row>
    <row r="9" spans="1:5" ht="16.25" customHeight="1" x14ac:dyDescent="0.4">
      <c r="A9" s="9"/>
      <c r="B9" s="359" t="s">
        <v>5</v>
      </c>
      <c r="C9" s="359"/>
      <c r="D9" s="359"/>
      <c r="E9" s="8" t="s">
        <v>684</v>
      </c>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181</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93</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87</v>
      </c>
      <c r="D28" s="18" t="s">
        <v>22</v>
      </c>
      <c r="E28" s="18" t="s">
        <v>23</v>
      </c>
      <c r="F28" s="15"/>
    </row>
    <row r="29" spans="1:14" ht="12.7" customHeight="1" x14ac:dyDescent="0.4">
      <c r="A29" s="9"/>
      <c r="B29" s="19" t="s">
        <v>24</v>
      </c>
      <c r="C29" s="20">
        <v>7097.64</v>
      </c>
      <c r="D29" s="21">
        <v>2429.9499999999998</v>
      </c>
      <c r="E29" s="21">
        <v>377.23</v>
      </c>
    </row>
    <row r="30" spans="1:14" x14ac:dyDescent="0.4">
      <c r="A30" s="9"/>
      <c r="B30" s="19" t="s">
        <v>25</v>
      </c>
      <c r="C30" s="20">
        <v>114.81</v>
      </c>
      <c r="D30" s="21">
        <v>-389.8</v>
      </c>
      <c r="E30" s="21">
        <v>318.01</v>
      </c>
    </row>
    <row r="31" spans="1:14" x14ac:dyDescent="0.4">
      <c r="A31" s="9"/>
      <c r="B31" s="19" t="s">
        <v>26</v>
      </c>
      <c r="C31" s="20">
        <v>500</v>
      </c>
      <c r="D31" s="21">
        <v>500</v>
      </c>
      <c r="E31" s="21">
        <v>500</v>
      </c>
    </row>
    <row r="32" spans="1:14" x14ac:dyDescent="0.4">
      <c r="A32" s="9"/>
      <c r="B32" s="19" t="s">
        <v>27</v>
      </c>
      <c r="C32" s="20">
        <v>792.5</v>
      </c>
      <c r="D32" s="21">
        <v>404.7</v>
      </c>
      <c r="E32" s="21">
        <v>-703.89</v>
      </c>
    </row>
    <row r="33" spans="1:10" x14ac:dyDescent="0.4">
      <c r="A33" s="9"/>
      <c r="B33" s="363" t="s">
        <v>182</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17</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184</v>
      </c>
      <c r="D43" s="374"/>
      <c r="E43" s="375"/>
      <c r="F43" s="13"/>
    </row>
    <row r="44" spans="1:10" x14ac:dyDescent="0.4">
      <c r="A44" s="9"/>
      <c r="B44" s="17" t="s">
        <v>31</v>
      </c>
      <c r="C44" s="373" t="s">
        <v>79</v>
      </c>
      <c r="D44" s="374"/>
      <c r="E44" s="375"/>
      <c r="F44" s="13"/>
    </row>
    <row r="45" spans="1:10" x14ac:dyDescent="0.4">
      <c r="A45" s="9"/>
      <c r="B45" s="17" t="s">
        <v>32</v>
      </c>
      <c r="C45" s="373" t="s">
        <v>79</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40</v>
      </c>
    </row>
    <row r="50" spans="1:14" x14ac:dyDescent="0.4">
      <c r="A50" s="29"/>
      <c r="B50" s="377" t="s">
        <v>97</v>
      </c>
      <c r="C50" s="378"/>
      <c r="D50" s="378"/>
      <c r="E50" s="379"/>
    </row>
    <row r="51" spans="1:14" x14ac:dyDescent="0.4">
      <c r="A51" s="31"/>
      <c r="B51" s="432" t="s">
        <v>185</v>
      </c>
      <c r="C51" s="433"/>
      <c r="D51" s="433"/>
      <c r="E51" s="434"/>
      <c r="F51" s="15"/>
      <c r="G51" s="15"/>
      <c r="H51" s="15"/>
    </row>
    <row r="52" spans="1:14" x14ac:dyDescent="0.4">
      <c r="A52" s="32"/>
      <c r="B52" s="85"/>
      <c r="C52" s="5"/>
      <c r="D52" s="5"/>
      <c r="E52" s="5"/>
      <c r="F52" s="15"/>
      <c r="G52" s="15"/>
      <c r="H52" s="15"/>
      <c r="I52" s="15"/>
    </row>
    <row r="53" spans="1:14" x14ac:dyDescent="0.4">
      <c r="A53" s="24">
        <v>10</v>
      </c>
      <c r="B53" s="376" t="s">
        <v>36</v>
      </c>
      <c r="C53" s="365"/>
      <c r="D53" s="365"/>
      <c r="E53" s="365"/>
      <c r="F53" s="15"/>
      <c r="G53" s="15"/>
      <c r="H53" s="15"/>
    </row>
    <row r="54" spans="1:14" x14ac:dyDescent="0.4">
      <c r="A54" s="29"/>
      <c r="B54" s="435" t="s">
        <v>43</v>
      </c>
      <c r="C54" s="437" t="s">
        <v>97</v>
      </c>
      <c r="D54" s="438"/>
      <c r="E54" s="439"/>
      <c r="K54" s="1"/>
    </row>
    <row r="55" spans="1:14" x14ac:dyDescent="0.4">
      <c r="A55" s="29"/>
      <c r="B55" s="436"/>
      <c r="C55" s="440"/>
      <c r="D55" s="441"/>
      <c r="E55" s="442"/>
      <c r="K55" s="1"/>
    </row>
    <row r="56" spans="1:14" x14ac:dyDescent="0.4">
      <c r="A56" s="24"/>
      <c r="B56" s="86" t="s">
        <v>44</v>
      </c>
      <c r="C56" s="443" t="s">
        <v>186</v>
      </c>
      <c r="D56" s="443"/>
      <c r="E56" s="443"/>
    </row>
    <row r="57" spans="1:14" x14ac:dyDescent="0.4">
      <c r="A57" s="29"/>
      <c r="B57" s="33" t="s">
        <v>45</v>
      </c>
      <c r="C57" s="391" t="s">
        <v>46</v>
      </c>
      <c r="D57" s="391"/>
      <c r="E57" s="391"/>
      <c r="K57" s="34"/>
    </row>
    <row r="58" spans="1:14" x14ac:dyDescent="0.4">
      <c r="A58" s="29"/>
      <c r="B58" s="432" t="s">
        <v>187</v>
      </c>
      <c r="C58" s="433"/>
      <c r="D58" s="433"/>
      <c r="E58" s="434"/>
      <c r="K58" s="34"/>
    </row>
    <row r="59" spans="1:14" s="63" customFormat="1" x14ac:dyDescent="0.35">
      <c r="A59" s="35" t="s">
        <v>47</v>
      </c>
      <c r="B59" s="392" t="s">
        <v>48</v>
      </c>
      <c r="C59" s="392"/>
      <c r="D59" s="392"/>
      <c r="E59" s="392"/>
    </row>
    <row r="60" spans="1:14" x14ac:dyDescent="0.4">
      <c r="A60" s="36"/>
      <c r="B60" s="2"/>
      <c r="C60" s="37"/>
      <c r="D60" s="38"/>
      <c r="E60" s="39"/>
      <c r="F60" s="34"/>
      <c r="G60" s="34"/>
      <c r="H60" s="34"/>
      <c r="I60" s="34"/>
      <c r="J60" s="34"/>
      <c r="K60" s="34"/>
      <c r="L60" s="34"/>
    </row>
    <row r="61" spans="1:14" x14ac:dyDescent="0.4">
      <c r="A61" s="40"/>
      <c r="B61" s="41"/>
      <c r="C61" s="42"/>
      <c r="D61" s="42"/>
      <c r="E61" s="42"/>
      <c r="F61" s="42"/>
    </row>
    <row r="62" spans="1:14" x14ac:dyDescent="0.4">
      <c r="A62" s="9">
        <v>11</v>
      </c>
      <c r="B62" s="3" t="s">
        <v>49</v>
      </c>
      <c r="C62" s="393" t="s">
        <v>50</v>
      </c>
      <c r="D62" s="393"/>
      <c r="E62" s="393"/>
      <c r="F62" s="11"/>
      <c r="G62" s="11"/>
      <c r="H62" s="43"/>
      <c r="I62" s="11"/>
      <c r="J62" s="11"/>
    </row>
    <row r="63" spans="1:14" x14ac:dyDescent="0.4">
      <c r="A63" s="9"/>
      <c r="B63" s="15"/>
      <c r="C63" s="15"/>
      <c r="D63" s="15"/>
      <c r="E63" s="15"/>
      <c r="F63" s="15"/>
      <c r="G63" s="15"/>
      <c r="H63" s="44"/>
      <c r="I63" s="44"/>
      <c r="J63" s="15"/>
    </row>
    <row r="64" spans="1:14" x14ac:dyDescent="0.4">
      <c r="A64" s="9">
        <v>12</v>
      </c>
      <c r="B64" s="11" t="s">
        <v>51</v>
      </c>
      <c r="C64" s="11"/>
      <c r="D64" s="11"/>
      <c r="E64" s="11"/>
      <c r="F64" s="11"/>
      <c r="G64" s="11"/>
      <c r="H64" s="11"/>
      <c r="I64" s="11"/>
      <c r="J64" s="11"/>
      <c r="K64" s="11"/>
      <c r="L64" s="11"/>
      <c r="M64" s="11"/>
      <c r="N64" s="11"/>
    </row>
    <row r="65" spans="1:14" x14ac:dyDescent="0.4">
      <c r="A65" s="9"/>
      <c r="B65" s="11"/>
      <c r="C65" s="11"/>
      <c r="D65" s="11"/>
      <c r="E65" s="11"/>
      <c r="F65" s="11"/>
      <c r="G65" s="11"/>
      <c r="H65" s="11"/>
      <c r="I65" s="11"/>
      <c r="J65" s="11"/>
      <c r="K65" s="11"/>
      <c r="L65" s="11"/>
      <c r="M65" s="11"/>
      <c r="N65" s="11"/>
    </row>
    <row r="66" spans="1:14" x14ac:dyDescent="0.4">
      <c r="A66" s="9"/>
      <c r="B66" s="17" t="s">
        <v>52</v>
      </c>
      <c r="C66" s="19" t="s">
        <v>153</v>
      </c>
      <c r="D66" s="15"/>
      <c r="E66" s="15"/>
      <c r="F66" s="44"/>
      <c r="G66" s="44"/>
      <c r="H66" s="15"/>
      <c r="I66" s="15"/>
      <c r="J66" s="15"/>
      <c r="K66" s="15"/>
      <c r="L66" s="15"/>
      <c r="M66" s="15"/>
      <c r="N66" s="15"/>
    </row>
    <row r="67" spans="1:14" x14ac:dyDescent="0.4">
      <c r="A67" s="9"/>
      <c r="B67" s="15"/>
      <c r="C67" s="15"/>
      <c r="D67" s="15"/>
      <c r="E67" s="15"/>
      <c r="F67" s="15"/>
      <c r="G67" s="15"/>
      <c r="H67" s="15"/>
      <c r="I67" s="15"/>
      <c r="J67" s="15"/>
      <c r="K67" s="15"/>
      <c r="L67" s="15"/>
      <c r="M67" s="15"/>
      <c r="N67" s="15"/>
    </row>
    <row r="68" spans="1:14" x14ac:dyDescent="0.4">
      <c r="A68" s="9"/>
      <c r="B68" s="365" t="s">
        <v>53</v>
      </c>
      <c r="C68" s="366" t="s">
        <v>188</v>
      </c>
      <c r="D68" s="366" t="s">
        <v>189</v>
      </c>
      <c r="E68" s="403" t="s">
        <v>190</v>
      </c>
      <c r="F68" s="395" t="s">
        <v>54</v>
      </c>
      <c r="G68" s="396"/>
      <c r="H68" s="397"/>
      <c r="I68" s="398" t="s">
        <v>55</v>
      </c>
      <c r="J68" s="398"/>
      <c r="K68" s="398"/>
      <c r="L68" s="398" t="s">
        <v>56</v>
      </c>
      <c r="M68" s="398"/>
      <c r="N68" s="398"/>
    </row>
    <row r="69" spans="1:14" ht="38.450000000000003" x14ac:dyDescent="0.4">
      <c r="A69" s="2"/>
      <c r="B69" s="365"/>
      <c r="C69" s="402"/>
      <c r="D69" s="402"/>
      <c r="E69" s="404"/>
      <c r="F69" s="17" t="s">
        <v>57</v>
      </c>
      <c r="G69" s="17" t="s">
        <v>58</v>
      </c>
      <c r="H69" s="17" t="s">
        <v>59</v>
      </c>
      <c r="I69" s="17" t="s">
        <v>60</v>
      </c>
      <c r="J69" s="17" t="s">
        <v>58</v>
      </c>
      <c r="K69" s="17" t="s">
        <v>59</v>
      </c>
      <c r="L69" s="17" t="s">
        <v>60</v>
      </c>
      <c r="M69" s="17" t="s">
        <v>58</v>
      </c>
      <c r="N69" s="17" t="s">
        <v>59</v>
      </c>
    </row>
    <row r="70" spans="1:14" x14ac:dyDescent="0.4">
      <c r="A70" s="2"/>
      <c r="B70" s="17" t="s">
        <v>61</v>
      </c>
      <c r="C70" s="45">
        <v>16.010000000000002</v>
      </c>
      <c r="D70" s="46">
        <v>28.5</v>
      </c>
      <c r="E70" s="46">
        <v>34</v>
      </c>
      <c r="F70" s="46">
        <v>31.5</v>
      </c>
      <c r="G70" s="46">
        <v>44</v>
      </c>
      <c r="H70" s="45">
        <v>15.05</v>
      </c>
      <c r="I70" s="45">
        <v>18.75</v>
      </c>
      <c r="J70" s="45">
        <v>32</v>
      </c>
      <c r="K70" s="45">
        <v>17.100000000000001</v>
      </c>
      <c r="L70" s="45">
        <v>35.35</v>
      </c>
      <c r="M70" s="45">
        <v>78.900000000000006</v>
      </c>
      <c r="N70" s="45">
        <v>20</v>
      </c>
    </row>
    <row r="71" spans="1:14" ht="25.65" x14ac:dyDescent="0.35">
      <c r="A71" s="2"/>
      <c r="B71" s="17" t="s">
        <v>62</v>
      </c>
      <c r="C71" s="47">
        <v>27364.92</v>
      </c>
      <c r="D71" s="47">
        <v>25864.47</v>
      </c>
      <c r="E71" s="64">
        <v>24455.040000000001</v>
      </c>
      <c r="F71" s="45">
        <v>25341.86</v>
      </c>
      <c r="G71" s="45">
        <v>29094.61</v>
      </c>
      <c r="H71" s="45">
        <v>22494.61</v>
      </c>
      <c r="I71" s="45">
        <v>29620.5</v>
      </c>
      <c r="J71" s="45">
        <v>27009.65</v>
      </c>
      <c r="K71" s="45">
        <v>26313.64</v>
      </c>
      <c r="L71" s="46">
        <v>32968.68</v>
      </c>
      <c r="M71" s="46">
        <v>36443.980000000003</v>
      </c>
      <c r="N71" s="48">
        <v>29241.48</v>
      </c>
    </row>
    <row r="72" spans="1:14" x14ac:dyDescent="0.35">
      <c r="A72" s="2"/>
      <c r="B72" s="22" t="s">
        <v>157</v>
      </c>
      <c r="C72" s="47">
        <v>782.22</v>
      </c>
      <c r="D72" s="47">
        <v>760.17</v>
      </c>
      <c r="E72" s="47">
        <v>785.15</v>
      </c>
      <c r="F72" s="45">
        <v>767.86</v>
      </c>
      <c r="G72" s="45">
        <v>948</v>
      </c>
      <c r="H72" s="45">
        <v>731.23</v>
      </c>
      <c r="I72" s="46">
        <v>1288.8800000000001</v>
      </c>
      <c r="J72" s="46">
        <v>894.95</v>
      </c>
      <c r="K72" s="46">
        <v>1011</v>
      </c>
      <c r="L72" s="46" t="s">
        <v>41</v>
      </c>
      <c r="M72" s="46" t="s">
        <v>41</v>
      </c>
      <c r="N72" s="46" t="s">
        <v>41</v>
      </c>
    </row>
    <row r="73" spans="1:14" x14ac:dyDescent="0.4">
      <c r="A73" s="2"/>
      <c r="B73" s="399" t="s">
        <v>191</v>
      </c>
      <c r="C73" s="399"/>
      <c r="D73" s="399"/>
      <c r="E73" s="399"/>
      <c r="F73" s="399"/>
      <c r="G73" s="399"/>
      <c r="H73" s="399"/>
      <c r="I73" s="399"/>
      <c r="J73" s="399"/>
      <c r="K73" s="399"/>
      <c r="L73" s="399"/>
      <c r="M73" s="399"/>
      <c r="N73" s="399"/>
    </row>
    <row r="74" spans="1:14" x14ac:dyDescent="0.4">
      <c r="A74" s="2"/>
      <c r="B74" s="401" t="s">
        <v>17</v>
      </c>
      <c r="C74" s="401"/>
      <c r="D74" s="401"/>
      <c r="E74" s="401"/>
      <c r="F74" s="401"/>
      <c r="G74" s="401"/>
      <c r="H74" s="401"/>
      <c r="I74" s="401"/>
      <c r="J74" s="401"/>
      <c r="K74" s="401"/>
      <c r="L74" s="401"/>
      <c r="M74" s="401"/>
      <c r="N74" s="401"/>
    </row>
    <row r="75" spans="1:14" x14ac:dyDescent="0.4">
      <c r="A75" s="2"/>
      <c r="B75" s="359" t="s">
        <v>63</v>
      </c>
      <c r="C75" s="359"/>
      <c r="D75" s="359"/>
      <c r="E75" s="359"/>
      <c r="F75" s="359"/>
      <c r="G75" s="359"/>
      <c r="H75" s="359"/>
      <c r="I75" s="359"/>
      <c r="J75" s="359"/>
      <c r="K75" s="359"/>
      <c r="L75" s="359"/>
      <c r="M75" s="359"/>
      <c r="N75" s="359"/>
    </row>
    <row r="76" spans="1:14" s="1" customFormat="1" x14ac:dyDescent="0.4">
      <c r="B76" s="359" t="s">
        <v>64</v>
      </c>
      <c r="C76" s="359"/>
      <c r="D76" s="359"/>
      <c r="E76" s="359"/>
      <c r="F76" s="359"/>
      <c r="G76" s="359"/>
      <c r="H76" s="359"/>
      <c r="I76" s="359"/>
      <c r="J76" s="359"/>
      <c r="K76" s="359"/>
      <c r="L76" s="359"/>
      <c r="M76" s="359"/>
      <c r="N76" s="359"/>
    </row>
    <row r="77" spans="1:14" x14ac:dyDescent="0.4">
      <c r="A77" s="2"/>
      <c r="B77" s="359" t="s">
        <v>80</v>
      </c>
      <c r="C77" s="359"/>
      <c r="D77" s="359"/>
      <c r="E77" s="359"/>
      <c r="F77" s="359"/>
      <c r="G77" s="359"/>
      <c r="H77" s="359"/>
      <c r="I77" s="359"/>
      <c r="J77" s="359"/>
      <c r="K77" s="359"/>
      <c r="L77" s="359"/>
      <c r="M77" s="359"/>
      <c r="N77" s="359"/>
    </row>
    <row r="78" spans="1:14" x14ac:dyDescent="0.4">
      <c r="A78" s="2"/>
      <c r="B78" s="359" t="s">
        <v>65</v>
      </c>
      <c r="C78" s="359"/>
      <c r="D78" s="359"/>
      <c r="E78" s="359"/>
      <c r="F78" s="359"/>
      <c r="G78" s="359"/>
      <c r="H78" s="359"/>
      <c r="I78" s="359"/>
      <c r="J78" s="359"/>
      <c r="K78" s="359"/>
      <c r="L78" s="359"/>
      <c r="M78" s="359"/>
      <c r="N78" s="359"/>
    </row>
    <row r="79" spans="1:14" x14ac:dyDescent="0.4">
      <c r="A79" s="2"/>
      <c r="B79" s="49"/>
      <c r="C79" s="49"/>
      <c r="D79" s="49"/>
      <c r="E79" s="49"/>
      <c r="F79" s="49"/>
      <c r="G79" s="13"/>
      <c r="H79" s="13"/>
      <c r="I79" s="13"/>
      <c r="J79" s="13"/>
      <c r="K79" s="13"/>
      <c r="L79" s="13"/>
      <c r="M79" s="13"/>
      <c r="N79" s="13"/>
    </row>
    <row r="80" spans="1:14" x14ac:dyDescent="0.4">
      <c r="A80" s="9">
        <v>13</v>
      </c>
      <c r="B80" s="405" t="s">
        <v>66</v>
      </c>
      <c r="C80" s="406"/>
      <c r="D80" s="406"/>
      <c r="E80" s="406"/>
      <c r="F80" s="406"/>
      <c r="G80" s="376"/>
      <c r="H80" s="11"/>
      <c r="I80" s="11"/>
      <c r="J80" s="11"/>
      <c r="K80" s="11"/>
      <c r="L80" s="11"/>
      <c r="M80" s="11"/>
      <c r="N80" s="11"/>
    </row>
    <row r="81" spans="1:14" x14ac:dyDescent="0.4">
      <c r="A81" s="9"/>
      <c r="C81" s="15"/>
      <c r="D81" s="15"/>
      <c r="E81" s="15"/>
      <c r="F81" s="15"/>
      <c r="G81" s="15"/>
      <c r="H81" s="15"/>
      <c r="I81" s="15"/>
      <c r="J81" s="15"/>
      <c r="K81" s="15"/>
      <c r="L81" s="15"/>
      <c r="M81" s="15"/>
      <c r="N81" s="15"/>
    </row>
    <row r="82" spans="1:14" ht="102.5" x14ac:dyDescent="0.4">
      <c r="A82" s="2"/>
      <c r="B82" s="50" t="s">
        <v>67</v>
      </c>
      <c r="C82" s="18" t="s">
        <v>68</v>
      </c>
      <c r="D82" s="18" t="s">
        <v>69</v>
      </c>
      <c r="E82" s="18" t="s">
        <v>88</v>
      </c>
      <c r="F82" s="18" t="s">
        <v>71</v>
      </c>
      <c r="G82" s="18" t="s">
        <v>107</v>
      </c>
      <c r="H82" s="13"/>
      <c r="I82" s="13"/>
      <c r="J82" s="13"/>
      <c r="K82" s="13"/>
      <c r="L82" s="13"/>
      <c r="M82" s="13"/>
      <c r="N82" s="13"/>
    </row>
    <row r="83" spans="1:14" ht="12.7" customHeight="1" x14ac:dyDescent="0.35">
      <c r="A83" s="2"/>
      <c r="B83" s="394" t="s">
        <v>72</v>
      </c>
      <c r="C83" s="3" t="s">
        <v>192</v>
      </c>
      <c r="D83" s="65">
        <v>1.64</v>
      </c>
      <c r="E83" s="52">
        <v>2.2999999999999998</v>
      </c>
      <c r="F83" s="66">
        <v>-7.76</v>
      </c>
      <c r="G83" s="66">
        <v>-2.95</v>
      </c>
      <c r="H83" s="53"/>
      <c r="I83" s="53"/>
      <c r="J83" s="53"/>
      <c r="K83" s="53"/>
      <c r="L83" s="53"/>
      <c r="M83" s="53"/>
      <c r="N83" s="53"/>
    </row>
    <row r="84" spans="1:14" x14ac:dyDescent="0.4">
      <c r="A84" s="2"/>
      <c r="B84" s="394"/>
      <c r="C84" s="3" t="s">
        <v>109</v>
      </c>
      <c r="D84" s="76" t="s">
        <v>84</v>
      </c>
      <c r="E84" s="67" t="s">
        <v>84</v>
      </c>
      <c r="F84" s="66"/>
      <c r="G84" s="66"/>
      <c r="H84" s="53"/>
      <c r="I84" s="53"/>
      <c r="J84" s="53"/>
      <c r="K84" s="53"/>
      <c r="L84" s="53"/>
      <c r="M84" s="53"/>
      <c r="N84" s="53"/>
    </row>
    <row r="85" spans="1:14" x14ac:dyDescent="0.4">
      <c r="A85" s="2"/>
      <c r="B85" s="394"/>
      <c r="C85" s="3" t="s">
        <v>74</v>
      </c>
      <c r="D85" s="76" t="s">
        <v>84</v>
      </c>
      <c r="E85" s="67" t="s">
        <v>84</v>
      </c>
      <c r="F85" s="66"/>
      <c r="G85" s="66"/>
      <c r="H85" s="53"/>
      <c r="I85" s="53"/>
      <c r="J85" s="53"/>
      <c r="K85" s="53"/>
      <c r="L85" s="53"/>
      <c r="M85" s="53"/>
      <c r="N85" s="53"/>
    </row>
    <row r="86" spans="1:14" x14ac:dyDescent="0.35">
      <c r="A86" s="2"/>
      <c r="B86" s="394" t="s">
        <v>75</v>
      </c>
      <c r="C86" s="3" t="s">
        <v>192</v>
      </c>
      <c r="D86" s="65">
        <v>8.5399999999999991</v>
      </c>
      <c r="E86" s="52">
        <v>13.7</v>
      </c>
      <c r="F86" s="67" t="s">
        <v>82</v>
      </c>
      <c r="G86" s="87">
        <f>35.35/G83</f>
        <v>-11.983050847457626</v>
      </c>
      <c r="H86" s="53"/>
      <c r="I86" s="53"/>
      <c r="J86" s="53"/>
      <c r="K86" s="53"/>
      <c r="L86" s="53"/>
      <c r="M86" s="53"/>
      <c r="N86" s="53"/>
    </row>
    <row r="87" spans="1:14" x14ac:dyDescent="0.4">
      <c r="A87" s="2"/>
      <c r="B87" s="394"/>
      <c r="C87" s="3" t="s">
        <v>109</v>
      </c>
      <c r="D87" s="76" t="s">
        <v>84</v>
      </c>
      <c r="E87" s="67" t="s">
        <v>84</v>
      </c>
      <c r="F87" s="66"/>
      <c r="G87" s="66"/>
      <c r="H87" s="53"/>
      <c r="I87" s="53"/>
      <c r="J87" s="53"/>
      <c r="K87" s="53"/>
      <c r="L87" s="53"/>
      <c r="M87" s="53"/>
      <c r="N87" s="53"/>
    </row>
    <row r="88" spans="1:14" x14ac:dyDescent="0.4">
      <c r="A88" s="2"/>
      <c r="B88" s="394"/>
      <c r="C88" s="3" t="s">
        <v>74</v>
      </c>
      <c r="D88" s="76" t="s">
        <v>84</v>
      </c>
      <c r="E88" s="67" t="s">
        <v>84</v>
      </c>
      <c r="F88" s="66"/>
      <c r="G88" s="66"/>
      <c r="H88" s="53"/>
      <c r="I88" s="53"/>
      <c r="J88" s="53"/>
      <c r="K88" s="53"/>
      <c r="L88" s="53"/>
      <c r="M88" s="53"/>
      <c r="N88" s="53"/>
    </row>
    <row r="89" spans="1:14" x14ac:dyDescent="0.35">
      <c r="A89" s="2"/>
      <c r="B89" s="394" t="s">
        <v>76</v>
      </c>
      <c r="C89" s="3" t="s">
        <v>192</v>
      </c>
      <c r="D89" s="65">
        <v>7.79</v>
      </c>
      <c r="E89" s="52">
        <v>8.9</v>
      </c>
      <c r="F89" s="67" t="s">
        <v>82</v>
      </c>
      <c r="G89" s="88">
        <f>-318.01/-203.89</f>
        <v>1.5597135710432097</v>
      </c>
      <c r="H89" s="53"/>
      <c r="I89" s="53"/>
      <c r="J89" s="53"/>
      <c r="K89" s="53"/>
      <c r="L89" s="53"/>
      <c r="M89" s="53"/>
      <c r="N89" s="53"/>
    </row>
    <row r="90" spans="1:14" x14ac:dyDescent="0.4">
      <c r="A90" s="2"/>
      <c r="B90" s="394"/>
      <c r="C90" s="3" t="s">
        <v>109</v>
      </c>
      <c r="D90" s="76" t="s">
        <v>84</v>
      </c>
      <c r="E90" s="67" t="s">
        <v>84</v>
      </c>
      <c r="F90" s="66"/>
      <c r="G90" s="66"/>
      <c r="H90" s="53"/>
      <c r="I90" s="53"/>
      <c r="J90" s="53"/>
      <c r="K90" s="53"/>
      <c r="L90" s="53"/>
      <c r="M90" s="53"/>
      <c r="N90" s="53"/>
    </row>
    <row r="91" spans="1:14" x14ac:dyDescent="0.4">
      <c r="A91" s="2"/>
      <c r="B91" s="394"/>
      <c r="C91" s="3" t="s">
        <v>74</v>
      </c>
      <c r="D91" s="76" t="s">
        <v>84</v>
      </c>
      <c r="E91" s="67" t="s">
        <v>84</v>
      </c>
      <c r="F91" s="66"/>
      <c r="G91" s="66"/>
      <c r="H91" s="53"/>
      <c r="I91" s="53"/>
      <c r="J91" s="53"/>
      <c r="K91" s="57"/>
      <c r="L91" s="53"/>
      <c r="M91" s="53"/>
      <c r="N91" s="53"/>
    </row>
    <row r="92" spans="1:14" x14ac:dyDescent="0.35">
      <c r="A92" s="2"/>
      <c r="B92" s="394" t="s">
        <v>77</v>
      </c>
      <c r="C92" s="3" t="s">
        <v>192</v>
      </c>
      <c r="D92" s="65">
        <v>21.1</v>
      </c>
      <c r="E92" s="52">
        <v>25.85</v>
      </c>
      <c r="F92" s="66">
        <v>18.09</v>
      </c>
      <c r="G92" s="66">
        <f>-203.89/50</f>
        <v>-4.0777999999999999</v>
      </c>
      <c r="H92" s="53"/>
      <c r="I92" s="53"/>
      <c r="J92" s="53"/>
      <c r="K92" s="53"/>
      <c r="L92" s="53"/>
      <c r="M92" s="53"/>
      <c r="N92" s="53"/>
    </row>
    <row r="93" spans="1:14" x14ac:dyDescent="0.4">
      <c r="A93" s="2"/>
      <c r="B93" s="394"/>
      <c r="C93" s="3" t="s">
        <v>109</v>
      </c>
      <c r="D93" s="76" t="s">
        <v>84</v>
      </c>
      <c r="E93" s="67" t="s">
        <v>84</v>
      </c>
      <c r="F93" s="66"/>
      <c r="G93" s="66"/>
      <c r="H93" s="53"/>
      <c r="I93" s="53"/>
      <c r="J93" s="53"/>
      <c r="K93" s="53"/>
      <c r="L93" s="53"/>
      <c r="M93" s="53"/>
      <c r="N93" s="53"/>
    </row>
    <row r="94" spans="1:14" x14ac:dyDescent="0.4">
      <c r="A94" s="2"/>
      <c r="B94" s="411"/>
      <c r="C94" s="7" t="s">
        <v>74</v>
      </c>
      <c r="D94" s="76" t="s">
        <v>84</v>
      </c>
      <c r="E94" s="67" t="s">
        <v>84</v>
      </c>
      <c r="F94" s="66"/>
      <c r="G94" s="66"/>
      <c r="H94" s="53"/>
      <c r="I94" s="53"/>
      <c r="J94" s="53"/>
      <c r="K94" s="53"/>
      <c r="L94" s="53"/>
      <c r="M94" s="53"/>
      <c r="N94" s="53"/>
    </row>
    <row r="95" spans="1:14" s="1" customFormat="1" ht="12.85" x14ac:dyDescent="0.4">
      <c r="B95" s="412" t="s">
        <v>110</v>
      </c>
      <c r="C95" s="413"/>
      <c r="D95" s="413"/>
      <c r="E95" s="413"/>
      <c r="F95" s="413"/>
      <c r="G95" s="414"/>
    </row>
    <row r="96" spans="1:14" x14ac:dyDescent="0.4">
      <c r="A96" s="2"/>
      <c r="B96" s="415" t="s">
        <v>162</v>
      </c>
      <c r="C96" s="416"/>
      <c r="D96" s="416"/>
      <c r="E96" s="416"/>
      <c r="F96" s="416"/>
      <c r="G96" s="417"/>
      <c r="H96" s="53"/>
      <c r="I96" s="53"/>
      <c r="J96" s="53"/>
      <c r="K96" s="53"/>
      <c r="L96" s="53"/>
      <c r="M96" s="53"/>
      <c r="N96" s="53"/>
    </row>
    <row r="97" spans="1:14" x14ac:dyDescent="0.4">
      <c r="A97" s="2"/>
      <c r="B97" s="418" t="s">
        <v>85</v>
      </c>
      <c r="C97" s="419"/>
      <c r="D97" s="419"/>
      <c r="E97" s="419"/>
      <c r="F97" s="419"/>
      <c r="G97" s="420"/>
      <c r="H97" s="53"/>
      <c r="I97" s="53"/>
      <c r="J97" s="53"/>
      <c r="K97" s="53"/>
      <c r="L97" s="53"/>
      <c r="M97" s="53"/>
      <c r="N97" s="53"/>
    </row>
    <row r="98" spans="1:14" x14ac:dyDescent="0.4">
      <c r="A98" s="2"/>
      <c r="B98" s="363"/>
      <c r="C98" s="368"/>
      <c r="D98" s="368"/>
      <c r="E98" s="368"/>
      <c r="F98" s="368"/>
      <c r="G98" s="369"/>
      <c r="H98" s="53"/>
      <c r="I98" s="53"/>
      <c r="J98" s="53"/>
      <c r="K98" s="53"/>
      <c r="L98" s="53"/>
      <c r="M98" s="53"/>
      <c r="N98" s="53"/>
    </row>
    <row r="99" spans="1:14" x14ac:dyDescent="0.4">
      <c r="C99" s="407"/>
      <c r="D99" s="407"/>
      <c r="E99" s="407"/>
      <c r="F99" s="407"/>
      <c r="G99" s="407"/>
      <c r="H99" s="53"/>
      <c r="I99" s="53"/>
    </row>
    <row r="100" spans="1:14" x14ac:dyDescent="0.4">
      <c r="A100" s="9">
        <v>14</v>
      </c>
      <c r="B100" s="61" t="s">
        <v>78</v>
      </c>
      <c r="C100" s="356" t="s">
        <v>193</v>
      </c>
      <c r="D100" s="357"/>
      <c r="E100" s="357"/>
      <c r="F100" s="357"/>
      <c r="G100" s="408"/>
    </row>
    <row r="101" spans="1:14" x14ac:dyDescent="0.4">
      <c r="A101" s="23"/>
      <c r="B101" s="4"/>
      <c r="C101" s="444" t="s">
        <v>194</v>
      </c>
      <c r="D101" s="445"/>
      <c r="E101" s="445"/>
      <c r="F101" s="445"/>
      <c r="G101" s="358"/>
    </row>
    <row r="102" spans="1:14" x14ac:dyDescent="0.4">
      <c r="A102" s="23"/>
      <c r="C102" s="10"/>
      <c r="D102" s="10"/>
      <c r="E102" s="10"/>
      <c r="F102" s="10"/>
      <c r="G102" s="10"/>
    </row>
    <row r="103" spans="1:14" x14ac:dyDescent="0.4">
      <c r="B103" s="409" t="s">
        <v>195</v>
      </c>
      <c r="C103" s="410"/>
      <c r="D103" s="410"/>
      <c r="E103" s="410"/>
      <c r="F103" s="410"/>
      <c r="G103" s="410"/>
      <c r="H103" s="410"/>
    </row>
  </sheetData>
  <sheetProtection password="E9DF" sheet="1" objects="1" scenarios="1"/>
  <mergeCells count="61">
    <mergeCell ref="C99:G99"/>
    <mergeCell ref="C100:G100"/>
    <mergeCell ref="C101:G101"/>
    <mergeCell ref="B103:H103"/>
    <mergeCell ref="B89:B91"/>
    <mergeCell ref="B92:B94"/>
    <mergeCell ref="B95:G95"/>
    <mergeCell ref="B96:G96"/>
    <mergeCell ref="B97:G97"/>
    <mergeCell ref="B98:G98"/>
    <mergeCell ref="B86:B88"/>
    <mergeCell ref="F68:H68"/>
    <mergeCell ref="I68:K68"/>
    <mergeCell ref="L68:N68"/>
    <mergeCell ref="B73:N73"/>
    <mergeCell ref="B74:N74"/>
    <mergeCell ref="B75:N75"/>
    <mergeCell ref="B68:B69"/>
    <mergeCell ref="C68:C69"/>
    <mergeCell ref="D68:D69"/>
    <mergeCell ref="E68:E69"/>
    <mergeCell ref="B76:N76"/>
    <mergeCell ref="B77:N77"/>
    <mergeCell ref="B78:N78"/>
    <mergeCell ref="B80:G80"/>
    <mergeCell ref="B83:B85"/>
    <mergeCell ref="C56:E56"/>
    <mergeCell ref="C57:E57"/>
    <mergeCell ref="B58:E58"/>
    <mergeCell ref="B59:E59"/>
    <mergeCell ref="C62:E62"/>
    <mergeCell ref="B48:E48"/>
    <mergeCell ref="B50:E50"/>
    <mergeCell ref="B51:E51"/>
    <mergeCell ref="B53:E53"/>
    <mergeCell ref="B54:B55"/>
    <mergeCell ref="C54:E55"/>
    <mergeCell ref="B46:E46"/>
    <mergeCell ref="C22:E22"/>
    <mergeCell ref="B23:E23"/>
    <mergeCell ref="B26:E26"/>
    <mergeCell ref="B27:E27"/>
    <mergeCell ref="B33:E33"/>
    <mergeCell ref="B35:E35"/>
    <mergeCell ref="B39:C39"/>
    <mergeCell ref="B42:E42"/>
    <mergeCell ref="C43:E43"/>
    <mergeCell ref="C44:E44"/>
    <mergeCell ref="C45:E45"/>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122"/>
  <sheetViews>
    <sheetView view="pageBreakPreview" topLeftCell="A72" zoomScaleNormal="100" zoomScaleSheetLayoutView="100" zoomScalePageLayoutView="50" workbookViewId="0">
      <selection activeCell="B73" sqref="B73:N73"/>
    </sheetView>
  </sheetViews>
  <sheetFormatPr defaultRowHeight="14.6" x14ac:dyDescent="0.4"/>
  <cols>
    <col min="1" max="1" width="6.4609375" bestFit="1" customWidth="1"/>
    <col min="2" max="2" width="46" bestFit="1" customWidth="1"/>
    <col min="3" max="3" width="19.53515625" customWidth="1"/>
    <col min="4" max="4" width="18.07421875" customWidth="1"/>
    <col min="5" max="5" width="18.69140625" customWidth="1"/>
    <col min="6" max="6" width="14.69140625" customWidth="1"/>
    <col min="7" max="7" width="9.3046875" bestFit="1" customWidth="1"/>
    <col min="8" max="8" width="10.07421875" bestFit="1" customWidth="1"/>
    <col min="9" max="9" width="9.84375" customWidth="1"/>
    <col min="10" max="10" width="8.69140625" customWidth="1"/>
    <col min="11" max="11" width="10.07421875"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25.55" customHeight="1" x14ac:dyDescent="0.4">
      <c r="A3" s="2" t="s">
        <v>1</v>
      </c>
      <c r="B3" s="3" t="s">
        <v>2</v>
      </c>
      <c r="C3" s="497" t="s">
        <v>948</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697</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1081</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139.43</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0.106</v>
      </c>
      <c r="D18" s="367"/>
      <c r="E18" s="367"/>
      <c r="F18" s="15"/>
      <c r="G18" s="13"/>
      <c r="H18" s="13"/>
      <c r="I18" s="13"/>
      <c r="J18" s="13"/>
      <c r="K18" s="13"/>
      <c r="L18" s="13"/>
      <c r="M18" s="13"/>
      <c r="N18" s="13"/>
    </row>
    <row r="19" spans="1:14" ht="25.65" x14ac:dyDescent="0.4">
      <c r="A19" s="9"/>
      <c r="B19" s="14" t="s">
        <v>1047</v>
      </c>
      <c r="C19" s="367">
        <v>3.1899999999999998E-2</v>
      </c>
      <c r="D19" s="367"/>
      <c r="E19" s="367"/>
      <c r="F19" s="15"/>
      <c r="G19" s="13" t="s">
        <v>693</v>
      </c>
      <c r="H19" s="8"/>
      <c r="I19" s="13"/>
      <c r="J19" s="13"/>
      <c r="K19" s="13"/>
      <c r="L19" s="13"/>
      <c r="M19" s="13"/>
      <c r="N19" s="13"/>
    </row>
    <row r="20" spans="1:14" x14ac:dyDescent="0.4">
      <c r="A20" s="9"/>
      <c r="B20" s="16" t="s">
        <v>605</v>
      </c>
      <c r="C20" s="454">
        <v>9.8599999999999993E-2</v>
      </c>
      <c r="D20" s="454"/>
      <c r="E20" s="454"/>
      <c r="F20" s="15"/>
      <c r="G20" s="13"/>
      <c r="H20" s="13"/>
      <c r="I20" s="13"/>
      <c r="J20" s="13"/>
      <c r="K20" s="13"/>
      <c r="L20" s="13"/>
      <c r="M20" s="13"/>
      <c r="N20" s="13"/>
    </row>
    <row r="21" spans="1:14" x14ac:dyDescent="0.4">
      <c r="A21" s="9"/>
      <c r="B21" s="17" t="s">
        <v>15</v>
      </c>
      <c r="C21" s="498">
        <v>5.28E-2</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c r="B24" s="15"/>
      <c r="C24" s="15"/>
      <c r="D24" s="170"/>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c r="K25" s="8"/>
      <c r="L25" s="8"/>
      <c r="M25" s="8"/>
      <c r="N25" s="8"/>
    </row>
    <row r="26" spans="1:14" x14ac:dyDescent="0.4">
      <c r="A26" s="9"/>
      <c r="B26" s="370" t="s">
        <v>19</v>
      </c>
      <c r="C26" s="371"/>
      <c r="D26" s="371"/>
      <c r="E26" s="372"/>
      <c r="F26" s="15"/>
      <c r="G26" s="8"/>
      <c r="H26" s="8"/>
      <c r="I26" s="8"/>
      <c r="J26" s="8"/>
      <c r="K26" s="8"/>
      <c r="L26" s="8"/>
      <c r="M26" s="8"/>
      <c r="N26" s="8"/>
    </row>
    <row r="27" spans="1:14" x14ac:dyDescent="0.4">
      <c r="A27" s="9"/>
      <c r="B27" s="17" t="s">
        <v>20</v>
      </c>
      <c r="C27" s="18" t="s">
        <v>262</v>
      </c>
      <c r="D27" s="171" t="s">
        <v>263</v>
      </c>
      <c r="E27" s="18" t="s">
        <v>23</v>
      </c>
      <c r="F27" s="15"/>
      <c r="G27" s="8"/>
      <c r="H27" s="8"/>
      <c r="I27" s="8"/>
      <c r="J27" s="8"/>
      <c r="K27" s="8"/>
      <c r="L27" s="8"/>
      <c r="M27" s="8"/>
      <c r="N27" s="8"/>
    </row>
    <row r="28" spans="1:14" ht="15.05" customHeight="1" x14ac:dyDescent="0.4">
      <c r="A28" s="9"/>
      <c r="B28" s="19" t="s">
        <v>24</v>
      </c>
      <c r="C28" s="172">
        <v>188479.95</v>
      </c>
      <c r="D28" s="298">
        <v>2236.15</v>
      </c>
      <c r="E28" s="540" t="s">
        <v>203</v>
      </c>
      <c r="F28" s="15"/>
      <c r="G28" s="8"/>
      <c r="H28" s="8"/>
      <c r="I28" s="8"/>
      <c r="J28" s="8"/>
      <c r="K28" s="8"/>
      <c r="L28" s="8"/>
      <c r="M28" s="8"/>
      <c r="N28" s="8"/>
    </row>
    <row r="29" spans="1:14" x14ac:dyDescent="0.4">
      <c r="A29" s="9"/>
      <c r="B29" s="19" t="s">
        <v>25</v>
      </c>
      <c r="C29" s="21">
        <v>4719.07</v>
      </c>
      <c r="D29" s="298">
        <v>29.67</v>
      </c>
      <c r="E29" s="541"/>
      <c r="F29" s="15"/>
      <c r="G29" s="8"/>
      <c r="H29" s="8"/>
      <c r="I29" s="8"/>
      <c r="J29" s="8"/>
      <c r="K29" s="8"/>
      <c r="L29" s="8"/>
      <c r="M29" s="8"/>
      <c r="N29" s="8"/>
    </row>
    <row r="30" spans="1:14" x14ac:dyDescent="0.4">
      <c r="A30" s="9"/>
      <c r="B30" s="19" t="s">
        <v>26</v>
      </c>
      <c r="C30" s="21">
        <v>2499.89</v>
      </c>
      <c r="D30" s="298">
        <v>25</v>
      </c>
      <c r="E30" s="541"/>
      <c r="F30" s="15"/>
      <c r="G30" s="8"/>
      <c r="H30" s="8"/>
      <c r="I30" s="8"/>
      <c r="J30" s="8"/>
      <c r="K30" s="8"/>
      <c r="L30" s="8"/>
      <c r="M30" s="8"/>
      <c r="N30" s="8"/>
    </row>
    <row r="31" spans="1:14" x14ac:dyDescent="0.4">
      <c r="A31" s="9"/>
      <c r="B31" s="19" t="s">
        <v>27</v>
      </c>
      <c r="C31" s="172">
        <v>22981.98</v>
      </c>
      <c r="D31" s="304">
        <v>259.49</v>
      </c>
      <c r="E31" s="542"/>
      <c r="F31" s="15"/>
      <c r="G31" s="8"/>
      <c r="H31" s="8"/>
      <c r="I31" s="8"/>
      <c r="J31" s="8"/>
      <c r="K31" s="8"/>
      <c r="L31" s="8"/>
      <c r="M31" s="8"/>
      <c r="N31" s="8"/>
    </row>
    <row r="32" spans="1:14" x14ac:dyDescent="0.4">
      <c r="A32" s="9"/>
      <c r="B32" s="363" t="s">
        <v>294</v>
      </c>
      <c r="C32" s="368"/>
      <c r="D32" s="368"/>
      <c r="E32" s="369"/>
      <c r="F32" s="15"/>
      <c r="G32" s="8"/>
      <c r="H32" s="8"/>
      <c r="I32" s="8"/>
      <c r="J32" s="8"/>
      <c r="K32" s="8"/>
      <c r="L32" s="8"/>
      <c r="M32" s="8"/>
      <c r="N32" s="8"/>
    </row>
    <row r="33" spans="1:14" x14ac:dyDescent="0.4">
      <c r="A33" s="9"/>
      <c r="B33" s="13"/>
      <c r="C33" s="15"/>
      <c r="D33" s="170"/>
      <c r="E33" s="15"/>
      <c r="F33" s="15"/>
      <c r="G33" s="8"/>
      <c r="H33" s="8"/>
      <c r="I33" s="8"/>
      <c r="J33" s="8"/>
      <c r="K33" s="8"/>
      <c r="L33" s="8"/>
      <c r="M33" s="8"/>
      <c r="N33" s="8"/>
    </row>
    <row r="34" spans="1:14" x14ac:dyDescent="0.4">
      <c r="A34" s="9">
        <v>7</v>
      </c>
      <c r="B34" s="365" t="s">
        <v>28</v>
      </c>
      <c r="C34" s="365"/>
      <c r="D34" s="365"/>
      <c r="E34" s="365"/>
      <c r="F34" s="11"/>
      <c r="G34" s="11"/>
      <c r="H34" s="11"/>
      <c r="I34" s="11"/>
      <c r="J34" s="11"/>
      <c r="K34" s="8"/>
      <c r="L34" s="8"/>
      <c r="M34" s="8"/>
      <c r="N34" s="8"/>
    </row>
    <row r="35" spans="1:14" x14ac:dyDescent="0.4">
      <c r="A35" s="9"/>
      <c r="B35" s="17" t="s">
        <v>29</v>
      </c>
      <c r="C35" s="446" t="s">
        <v>183</v>
      </c>
      <c r="D35" s="446"/>
      <c r="E35" s="446"/>
      <c r="F35" s="13"/>
      <c r="G35" s="8"/>
      <c r="H35" s="8"/>
      <c r="I35" s="8"/>
      <c r="J35" s="8"/>
      <c r="K35" s="8"/>
      <c r="L35" s="8"/>
      <c r="M35" s="8"/>
      <c r="N35" s="8"/>
    </row>
    <row r="36" spans="1:14" x14ac:dyDescent="0.4">
      <c r="A36" s="9"/>
      <c r="B36" s="17" t="s">
        <v>31</v>
      </c>
      <c r="C36" s="446" t="s">
        <v>183</v>
      </c>
      <c r="D36" s="446"/>
      <c r="E36" s="446"/>
      <c r="F36" s="13"/>
      <c r="G36" s="8"/>
      <c r="H36" s="8"/>
      <c r="I36" s="8"/>
      <c r="J36" s="8"/>
      <c r="K36" s="8"/>
      <c r="L36" s="8"/>
      <c r="M36" s="8"/>
      <c r="N36" s="8"/>
    </row>
    <row r="37" spans="1:14" ht="25.55" customHeight="1" x14ac:dyDescent="0.4">
      <c r="A37" s="9"/>
      <c r="B37" s="17" t="s">
        <v>32</v>
      </c>
      <c r="C37" s="446" t="s">
        <v>201</v>
      </c>
      <c r="D37" s="446"/>
      <c r="E37" s="446"/>
      <c r="F37" s="13"/>
      <c r="G37" s="8"/>
      <c r="H37" s="8"/>
      <c r="I37" s="8"/>
      <c r="J37" s="8"/>
      <c r="K37" s="8"/>
      <c r="L37" s="8"/>
      <c r="M37" s="8"/>
      <c r="N37" s="8"/>
    </row>
    <row r="38" spans="1:14" x14ac:dyDescent="0.4">
      <c r="A38" s="9"/>
      <c r="B38" s="8"/>
      <c r="C38" s="13"/>
      <c r="D38" s="169"/>
      <c r="E38" s="13"/>
      <c r="F38" s="13"/>
      <c r="G38" s="8"/>
      <c r="H38" s="8"/>
      <c r="I38" s="8"/>
      <c r="J38" s="8"/>
      <c r="K38" s="8"/>
      <c r="L38" s="8"/>
      <c r="M38" s="8"/>
      <c r="N38" s="8"/>
    </row>
    <row r="39" spans="1:14" x14ac:dyDescent="0.4">
      <c r="A39" s="9"/>
      <c r="B39" s="15"/>
      <c r="C39" s="13"/>
      <c r="D39" s="169"/>
      <c r="E39" s="13"/>
      <c r="F39" s="13"/>
      <c r="G39" s="8"/>
      <c r="H39" s="8"/>
      <c r="I39" s="8"/>
      <c r="J39" s="8"/>
      <c r="K39" s="8"/>
      <c r="L39" s="8"/>
      <c r="M39" s="8"/>
      <c r="N39" s="8"/>
    </row>
    <row r="40" spans="1:14" x14ac:dyDescent="0.4">
      <c r="A40" s="9">
        <v>8</v>
      </c>
      <c r="B40" s="365" t="s">
        <v>1084</v>
      </c>
      <c r="C40" s="365"/>
      <c r="D40" s="365"/>
      <c r="E40" s="365"/>
      <c r="F40" s="11"/>
      <c r="G40" s="11"/>
      <c r="H40" s="11"/>
      <c r="I40" s="11"/>
      <c r="J40" s="11"/>
      <c r="K40" s="8"/>
      <c r="L40" s="8"/>
      <c r="M40" s="8"/>
      <c r="N40" s="8"/>
    </row>
    <row r="41" spans="1:14" x14ac:dyDescent="0.4">
      <c r="A41" s="9"/>
      <c r="B41" s="17" t="s">
        <v>34</v>
      </c>
      <c r="C41" s="373" t="s">
        <v>730</v>
      </c>
      <c r="D41" s="374"/>
      <c r="E41" s="375"/>
      <c r="F41" s="13"/>
      <c r="G41" s="8"/>
      <c r="H41" s="8"/>
      <c r="I41" s="8"/>
      <c r="J41" s="8"/>
      <c r="K41" s="8"/>
      <c r="L41" s="8"/>
      <c r="M41" s="8"/>
      <c r="N41" s="8"/>
    </row>
    <row r="42" spans="1:14" ht="37.549999999999997" customHeight="1" x14ac:dyDescent="0.4">
      <c r="A42" s="9"/>
      <c r="B42" s="17" t="s">
        <v>31</v>
      </c>
      <c r="C42" s="373" t="s">
        <v>1252</v>
      </c>
      <c r="D42" s="374"/>
      <c r="E42" s="375"/>
      <c r="F42" s="13"/>
      <c r="G42" s="8"/>
      <c r="H42" s="8"/>
      <c r="I42" s="8"/>
      <c r="J42" s="8"/>
      <c r="K42" s="8"/>
      <c r="L42" s="8"/>
      <c r="M42" s="8"/>
      <c r="N42" s="8"/>
    </row>
    <row r="43" spans="1:14" x14ac:dyDescent="0.4">
      <c r="A43" s="9"/>
      <c r="B43" s="17" t="s">
        <v>32</v>
      </c>
      <c r="C43" s="446" t="s">
        <v>201</v>
      </c>
      <c r="D43" s="446"/>
      <c r="E43" s="446"/>
      <c r="F43" s="13"/>
      <c r="G43" s="8"/>
      <c r="H43" s="8"/>
      <c r="I43" s="8"/>
      <c r="J43" s="8"/>
      <c r="K43" s="8"/>
      <c r="L43" s="8"/>
      <c r="M43" s="8"/>
      <c r="N43" s="8"/>
    </row>
    <row r="44" spans="1:14" x14ac:dyDescent="0.4">
      <c r="A44" s="9"/>
      <c r="B44" s="363" t="s">
        <v>848</v>
      </c>
      <c r="C44" s="368"/>
      <c r="D44" s="368"/>
      <c r="E44" s="369"/>
      <c r="F44" s="13"/>
      <c r="G44" s="8"/>
      <c r="H44" s="8"/>
      <c r="I44" s="8"/>
      <c r="J44" s="8"/>
      <c r="K44" s="8"/>
      <c r="L44" s="8"/>
      <c r="M44" s="8"/>
      <c r="N44" s="8"/>
    </row>
    <row r="45" spans="1:14" x14ac:dyDescent="0.4">
      <c r="A45" s="2"/>
      <c r="B45" s="8"/>
      <c r="C45" s="8"/>
      <c r="D45" s="173"/>
      <c r="E45" s="13"/>
      <c r="F45" s="8"/>
      <c r="G45" s="8"/>
      <c r="H45" s="8"/>
      <c r="I45" s="8"/>
      <c r="J45" s="8"/>
      <c r="K45" s="8"/>
      <c r="L45" s="8"/>
      <c r="M45" s="8"/>
      <c r="N45" s="8"/>
    </row>
    <row r="46" spans="1:14" x14ac:dyDescent="0.4">
      <c r="A46" s="24">
        <v>9</v>
      </c>
      <c r="B46" s="376" t="s">
        <v>1085</v>
      </c>
      <c r="C46" s="365"/>
      <c r="D46" s="365"/>
      <c r="E46" s="365"/>
      <c r="F46" s="25"/>
      <c r="G46" s="11"/>
      <c r="H46" s="11"/>
      <c r="I46" s="11"/>
      <c r="J46" s="8"/>
      <c r="K46" s="8"/>
      <c r="L46" s="8"/>
      <c r="M46" s="8"/>
      <c r="N46" s="8"/>
    </row>
    <row r="47" spans="1:14" ht="38.450000000000003" x14ac:dyDescent="0.4">
      <c r="A47" s="24"/>
      <c r="B47" s="26" t="s">
        <v>37</v>
      </c>
      <c r="C47" s="27" t="s">
        <v>38</v>
      </c>
      <c r="D47" s="174" t="s">
        <v>39</v>
      </c>
      <c r="E47" s="27" t="s">
        <v>206</v>
      </c>
      <c r="F47" s="8"/>
      <c r="G47" s="8"/>
      <c r="H47" s="8"/>
      <c r="I47" s="8"/>
      <c r="J47" s="8"/>
      <c r="K47" s="8"/>
      <c r="L47" s="8"/>
      <c r="M47" s="8"/>
      <c r="N47" s="8"/>
    </row>
    <row r="48" spans="1:14" ht="212.05" x14ac:dyDescent="0.4">
      <c r="A48" s="29"/>
      <c r="B48" s="78" t="s">
        <v>307</v>
      </c>
      <c r="C48" s="216" t="s">
        <v>974</v>
      </c>
      <c r="D48" s="216" t="s">
        <v>1224</v>
      </c>
      <c r="E48" s="117" t="s">
        <v>83</v>
      </c>
      <c r="F48" s="8"/>
      <c r="G48" s="8"/>
      <c r="H48" s="8"/>
      <c r="I48" s="8"/>
      <c r="J48" s="8"/>
      <c r="K48" s="8"/>
      <c r="L48" s="8"/>
      <c r="M48" s="8"/>
      <c r="N48" s="8"/>
    </row>
    <row r="49" spans="1:14" x14ac:dyDescent="0.4">
      <c r="A49" s="31"/>
      <c r="B49" s="380" t="s">
        <v>1105</v>
      </c>
      <c r="C49" s="381"/>
      <c r="D49" s="381"/>
      <c r="E49" s="382"/>
      <c r="F49" s="15"/>
      <c r="G49" s="15"/>
      <c r="H49" s="15"/>
      <c r="I49" s="8"/>
      <c r="J49" s="8"/>
      <c r="K49" s="8"/>
      <c r="L49" s="8"/>
      <c r="M49" s="8"/>
      <c r="N49" s="8"/>
    </row>
    <row r="50" spans="1:14" x14ac:dyDescent="0.4">
      <c r="A50" s="32"/>
      <c r="B50" s="62"/>
      <c r="C50" s="23"/>
      <c r="D50" s="173"/>
      <c r="E50" s="23"/>
      <c r="F50" s="15"/>
      <c r="G50" s="15"/>
      <c r="H50" s="15"/>
      <c r="I50" s="15"/>
      <c r="J50" s="8"/>
      <c r="K50" s="8"/>
      <c r="L50" s="8"/>
      <c r="M50" s="8"/>
      <c r="N50" s="8"/>
    </row>
    <row r="51" spans="1:14" x14ac:dyDescent="0.4">
      <c r="A51" s="24">
        <v>10</v>
      </c>
      <c r="B51" s="376" t="s">
        <v>1085</v>
      </c>
      <c r="C51" s="365"/>
      <c r="D51" s="365"/>
      <c r="E51" s="365"/>
      <c r="F51" s="15"/>
      <c r="G51" s="15"/>
      <c r="H51" s="15"/>
      <c r="I51" s="8"/>
      <c r="J51" s="8"/>
      <c r="K51" s="8"/>
      <c r="L51" s="8"/>
      <c r="M51" s="8"/>
      <c r="N51" s="8"/>
    </row>
    <row r="52" spans="1:14" ht="15.05" customHeight="1" x14ac:dyDescent="0.4">
      <c r="A52" s="29"/>
      <c r="B52" s="383" t="s">
        <v>43</v>
      </c>
      <c r="C52" s="581" t="s">
        <v>975</v>
      </c>
      <c r="D52" s="582"/>
      <c r="E52" s="583"/>
      <c r="F52" s="8"/>
      <c r="G52" s="8"/>
      <c r="H52" s="8"/>
      <c r="I52" s="8"/>
      <c r="J52" s="8"/>
      <c r="K52" s="1"/>
      <c r="L52" s="8"/>
      <c r="M52" s="8"/>
      <c r="N52" s="8"/>
    </row>
    <row r="53" spans="1:14" ht="38.25" customHeight="1" x14ac:dyDescent="0.4">
      <c r="A53" s="29"/>
      <c r="B53" s="384"/>
      <c r="C53" s="584"/>
      <c r="D53" s="585"/>
      <c r="E53" s="586"/>
      <c r="F53" s="8"/>
      <c r="G53" s="8"/>
      <c r="H53" s="8"/>
      <c r="I53" s="8"/>
      <c r="J53" s="8"/>
      <c r="K53" s="1"/>
      <c r="L53" s="8"/>
      <c r="M53" s="8"/>
      <c r="N53" s="8"/>
    </row>
    <row r="54" spans="1:14" ht="84.7" customHeight="1" x14ac:dyDescent="0.4">
      <c r="A54" s="24"/>
      <c r="B54" s="33" t="s">
        <v>44</v>
      </c>
      <c r="C54" s="391" t="s">
        <v>1225</v>
      </c>
      <c r="D54" s="391"/>
      <c r="E54" s="391"/>
      <c r="F54" s="8"/>
      <c r="G54" s="8"/>
      <c r="H54" s="8"/>
      <c r="I54" s="8"/>
      <c r="J54" s="8"/>
      <c r="K54" s="8"/>
      <c r="L54" s="8"/>
      <c r="M54" s="8"/>
      <c r="N54" s="8"/>
    </row>
    <row r="55" spans="1:14" x14ac:dyDescent="0.4">
      <c r="A55" s="29"/>
      <c r="B55" s="33" t="s">
        <v>45</v>
      </c>
      <c r="C55" s="471" t="s">
        <v>46</v>
      </c>
      <c r="D55" s="472"/>
      <c r="E55" s="473"/>
      <c r="F55" s="8"/>
      <c r="G55" s="8"/>
      <c r="H55" s="8"/>
      <c r="I55" s="8"/>
      <c r="J55" s="8"/>
      <c r="K55" s="34"/>
      <c r="L55" s="8"/>
      <c r="M55" s="8"/>
      <c r="N55" s="8"/>
    </row>
    <row r="56" spans="1:14" x14ac:dyDescent="0.4">
      <c r="A56" s="29"/>
      <c r="B56" s="480" t="s">
        <v>1105</v>
      </c>
      <c r="C56" s="480"/>
      <c r="D56" s="480"/>
      <c r="E56" s="480"/>
      <c r="F56" s="8"/>
      <c r="G56" s="8"/>
      <c r="H56" s="8"/>
      <c r="I56" s="8"/>
      <c r="J56" s="8"/>
      <c r="K56" s="34"/>
      <c r="L56" s="8"/>
      <c r="M56" s="8"/>
      <c r="N56" s="8"/>
    </row>
    <row r="57" spans="1:14" x14ac:dyDescent="0.4">
      <c r="A57" s="35" t="s">
        <v>47</v>
      </c>
      <c r="B57" s="392" t="s">
        <v>48</v>
      </c>
      <c r="C57" s="392"/>
      <c r="D57" s="392"/>
      <c r="E57" s="392"/>
      <c r="F57" s="63"/>
      <c r="G57" s="63"/>
      <c r="H57" s="63"/>
      <c r="I57" s="63"/>
      <c r="J57" s="63"/>
      <c r="K57" s="63"/>
      <c r="L57" s="63"/>
      <c r="M57" s="63"/>
      <c r="N57" s="63"/>
    </row>
    <row r="58" spans="1:14" x14ac:dyDescent="0.4">
      <c r="A58" s="40"/>
      <c r="B58" s="41"/>
      <c r="C58" s="42"/>
      <c r="D58" s="175"/>
      <c r="E58" s="42"/>
      <c r="F58" s="42"/>
      <c r="G58" s="8"/>
      <c r="H58" s="8"/>
      <c r="I58" s="8"/>
      <c r="J58" s="8"/>
      <c r="K58" s="8"/>
      <c r="L58" s="8"/>
      <c r="M58" s="8"/>
      <c r="N58" s="8"/>
    </row>
    <row r="59" spans="1:14" x14ac:dyDescent="0.4">
      <c r="A59" s="9">
        <v>11</v>
      </c>
      <c r="B59" s="3" t="s">
        <v>49</v>
      </c>
      <c r="C59" s="580" t="s">
        <v>851</v>
      </c>
      <c r="D59" s="580"/>
      <c r="E59" s="580"/>
      <c r="F59" s="11"/>
      <c r="G59" s="11"/>
      <c r="H59" s="43"/>
      <c r="I59" s="11"/>
      <c r="J59" s="11"/>
      <c r="K59" s="8"/>
      <c r="L59" s="8"/>
      <c r="M59" s="8"/>
      <c r="N59" s="8"/>
    </row>
    <row r="60" spans="1:14" x14ac:dyDescent="0.4">
      <c r="A60" s="9"/>
      <c r="B60" s="15"/>
      <c r="C60" s="15"/>
      <c r="D60" s="170"/>
      <c r="E60" s="15"/>
      <c r="F60" s="15"/>
      <c r="G60" s="15"/>
      <c r="H60" s="44"/>
      <c r="I60" s="44"/>
      <c r="J60" s="15"/>
      <c r="K60" s="8"/>
      <c r="L60" s="8"/>
      <c r="M60" s="8"/>
      <c r="N60" s="8"/>
    </row>
    <row r="61" spans="1:14" x14ac:dyDescent="0.4">
      <c r="A61" s="9">
        <v>12</v>
      </c>
      <c r="B61" s="11" t="s">
        <v>51</v>
      </c>
      <c r="C61" s="11"/>
      <c r="D61" s="176"/>
      <c r="E61" s="43"/>
      <c r="F61" s="43"/>
      <c r="G61" s="11"/>
      <c r="H61" s="11"/>
      <c r="I61" s="11"/>
      <c r="J61" s="11"/>
      <c r="K61" s="11"/>
      <c r="L61" s="11"/>
      <c r="M61" s="11"/>
      <c r="N61" s="11"/>
    </row>
    <row r="62" spans="1:14" x14ac:dyDescent="0.4">
      <c r="A62" s="9"/>
      <c r="B62" s="11"/>
      <c r="C62" s="11"/>
      <c r="D62" s="176"/>
      <c r="E62" s="43"/>
      <c r="F62" s="43"/>
      <c r="G62" s="43"/>
      <c r="H62" s="11"/>
      <c r="I62" s="11"/>
      <c r="J62" s="11"/>
      <c r="K62" s="11"/>
      <c r="L62" s="11"/>
      <c r="M62" s="11"/>
      <c r="N62" s="11"/>
    </row>
    <row r="63" spans="1:14" x14ac:dyDescent="0.4">
      <c r="A63" s="9"/>
      <c r="B63" s="17" t="s">
        <v>52</v>
      </c>
      <c r="C63" s="446" t="s">
        <v>953</v>
      </c>
      <c r="D63" s="446"/>
      <c r="E63" s="446"/>
      <c r="F63" s="44"/>
      <c r="G63" s="44"/>
      <c r="H63" s="15"/>
      <c r="I63" s="15"/>
      <c r="J63" s="15"/>
      <c r="K63" s="15"/>
      <c r="L63" s="15"/>
      <c r="M63" s="15"/>
      <c r="N63" s="15"/>
    </row>
    <row r="64" spans="1:14" x14ac:dyDescent="0.4">
      <c r="A64" s="9"/>
      <c r="B64" s="15"/>
      <c r="C64" s="15"/>
      <c r="D64" s="236"/>
      <c r="E64" s="118"/>
      <c r="F64" s="15"/>
      <c r="G64" s="44"/>
      <c r="H64" s="15"/>
      <c r="I64" s="15"/>
      <c r="J64" s="15"/>
      <c r="K64" s="15"/>
      <c r="L64" s="15"/>
      <c r="M64" s="15"/>
      <c r="N64" s="15"/>
    </row>
    <row r="65" spans="1:14" x14ac:dyDescent="0.4">
      <c r="A65" s="9"/>
      <c r="B65" s="365" t="s">
        <v>53</v>
      </c>
      <c r="C65" s="366" t="s">
        <v>954</v>
      </c>
      <c r="D65" s="558" t="s">
        <v>1253</v>
      </c>
      <c r="E65" s="403" t="s">
        <v>1254</v>
      </c>
      <c r="F65" s="395" t="s">
        <v>626</v>
      </c>
      <c r="G65" s="396"/>
      <c r="H65" s="397"/>
      <c r="I65" s="398" t="s">
        <v>55</v>
      </c>
      <c r="J65" s="398"/>
      <c r="K65" s="398"/>
      <c r="L65" s="398" t="s">
        <v>56</v>
      </c>
      <c r="M65" s="398"/>
      <c r="N65" s="398"/>
    </row>
    <row r="66" spans="1:14" ht="38.450000000000003" x14ac:dyDescent="0.4">
      <c r="A66" s="2"/>
      <c r="B66" s="365"/>
      <c r="C66" s="402"/>
      <c r="D66" s="559"/>
      <c r="E66" s="404"/>
      <c r="F66" s="17" t="s">
        <v>57</v>
      </c>
      <c r="G66" s="17" t="s">
        <v>58</v>
      </c>
      <c r="H66" s="17" t="s">
        <v>59</v>
      </c>
      <c r="I66" s="17" t="s">
        <v>60</v>
      </c>
      <c r="J66" s="17" t="s">
        <v>58</v>
      </c>
      <c r="K66" s="17" t="s">
        <v>59</v>
      </c>
      <c r="L66" s="17" t="s">
        <v>60</v>
      </c>
      <c r="M66" s="17" t="s">
        <v>58</v>
      </c>
      <c r="N66" s="17" t="s">
        <v>59</v>
      </c>
    </row>
    <row r="67" spans="1:14" x14ac:dyDescent="0.4">
      <c r="A67" s="2"/>
      <c r="B67" s="17" t="s">
        <v>103</v>
      </c>
      <c r="C67" s="289">
        <v>146</v>
      </c>
      <c r="D67" s="289">
        <v>235.65</v>
      </c>
      <c r="E67" s="101">
        <v>143.5</v>
      </c>
      <c r="F67" s="101">
        <v>152.85</v>
      </c>
      <c r="G67" s="101">
        <v>154</v>
      </c>
      <c r="H67" s="101">
        <v>131.80000000000001</v>
      </c>
      <c r="I67" s="101">
        <v>107.35</v>
      </c>
      <c r="J67" s="101">
        <v>261</v>
      </c>
      <c r="K67" s="101">
        <v>98.6</v>
      </c>
      <c r="L67" s="45" t="s">
        <v>41</v>
      </c>
      <c r="M67" s="45" t="s">
        <v>41</v>
      </c>
      <c r="N67" s="45" t="s">
        <v>41</v>
      </c>
    </row>
    <row r="68" spans="1:14" ht="25.65" x14ac:dyDescent="0.4">
      <c r="A68" s="2"/>
      <c r="B68" s="17" t="s">
        <v>627</v>
      </c>
      <c r="C68" s="288">
        <v>17222</v>
      </c>
      <c r="D68" s="288">
        <v>17200.8</v>
      </c>
      <c r="E68" s="101">
        <v>15832.05</v>
      </c>
      <c r="F68" s="101">
        <v>17464.75</v>
      </c>
      <c r="G68" s="101">
        <v>18604.45</v>
      </c>
      <c r="H68" s="101">
        <v>14151.4</v>
      </c>
      <c r="I68" s="101">
        <v>17359.75</v>
      </c>
      <c r="J68" s="101">
        <v>18887.599999999999</v>
      </c>
      <c r="K68" s="101">
        <v>15183.4</v>
      </c>
      <c r="L68" s="45" t="s">
        <v>41</v>
      </c>
      <c r="M68" s="45" t="s">
        <v>41</v>
      </c>
      <c r="N68" s="45" t="s">
        <v>41</v>
      </c>
    </row>
    <row r="69" spans="1:14" x14ac:dyDescent="0.4">
      <c r="A69" s="2"/>
      <c r="B69" s="17" t="s">
        <v>1087</v>
      </c>
      <c r="C69" s="546" t="s">
        <v>83</v>
      </c>
      <c r="D69" s="546"/>
      <c r="E69" s="546"/>
      <c r="F69" s="546"/>
      <c r="G69" s="546"/>
      <c r="H69" s="546"/>
      <c r="I69" s="546"/>
      <c r="J69" s="546"/>
      <c r="K69" s="546"/>
      <c r="L69" s="546"/>
      <c r="M69" s="546"/>
      <c r="N69" s="546"/>
    </row>
    <row r="70" spans="1:14" s="8" customFormat="1" ht="13.25" x14ac:dyDescent="0.4">
      <c r="A70" s="2"/>
      <c r="B70" s="399" t="s">
        <v>1096</v>
      </c>
      <c r="C70" s="399"/>
      <c r="D70" s="399"/>
      <c r="E70" s="399"/>
      <c r="F70" s="399"/>
      <c r="G70" s="399"/>
      <c r="H70" s="399"/>
      <c r="I70" s="399"/>
      <c r="J70" s="399"/>
      <c r="K70" s="399"/>
      <c r="L70" s="399"/>
      <c r="M70" s="399"/>
      <c r="N70" s="399"/>
    </row>
    <row r="71" spans="1:14" x14ac:dyDescent="0.4">
      <c r="A71" s="2"/>
      <c r="B71" s="545" t="s">
        <v>94</v>
      </c>
      <c r="C71" s="545"/>
      <c r="D71" s="545"/>
      <c r="E71" s="545"/>
      <c r="F71" s="545"/>
      <c r="G71" s="545"/>
      <c r="H71" s="545"/>
      <c r="I71" s="545"/>
      <c r="J71" s="545"/>
      <c r="K71" s="545"/>
      <c r="L71" s="545"/>
      <c r="M71" s="545"/>
      <c r="N71" s="545"/>
    </row>
    <row r="72" spans="1:14" x14ac:dyDescent="0.4">
      <c r="A72" s="2"/>
      <c r="B72" s="480" t="s">
        <v>63</v>
      </c>
      <c r="C72" s="480"/>
      <c r="D72" s="480"/>
      <c r="E72" s="480"/>
      <c r="F72" s="480"/>
      <c r="G72" s="480"/>
      <c r="H72" s="480"/>
      <c r="I72" s="480"/>
      <c r="J72" s="480"/>
      <c r="K72" s="480"/>
      <c r="L72" s="480"/>
      <c r="M72" s="480"/>
      <c r="N72" s="480"/>
    </row>
    <row r="73" spans="1:14" x14ac:dyDescent="0.4">
      <c r="A73" s="1"/>
      <c r="B73" s="474" t="s">
        <v>64</v>
      </c>
      <c r="C73" s="474"/>
      <c r="D73" s="474"/>
      <c r="E73" s="474"/>
      <c r="F73" s="474"/>
      <c r="G73" s="474"/>
      <c r="H73" s="474"/>
      <c r="I73" s="474"/>
      <c r="J73" s="474"/>
      <c r="K73" s="474"/>
      <c r="L73" s="474"/>
      <c r="M73" s="474"/>
      <c r="N73" s="474"/>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177"/>
      <c r="E76" s="49"/>
      <c r="F76" s="49"/>
      <c r="G76" s="13"/>
      <c r="H76" s="13"/>
      <c r="I76" s="13"/>
      <c r="J76" s="13"/>
      <c r="K76" s="13"/>
      <c r="L76" s="13" t="s">
        <v>693</v>
      </c>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B78" s="8"/>
      <c r="C78" s="15"/>
      <c r="D78" s="170"/>
      <c r="E78" s="15"/>
      <c r="F78" s="15"/>
      <c r="G78" s="15"/>
      <c r="H78" s="15"/>
      <c r="I78" s="15"/>
      <c r="J78" s="15"/>
      <c r="K78" s="15"/>
      <c r="L78" s="15"/>
      <c r="M78" s="15"/>
      <c r="N78" s="15"/>
    </row>
    <row r="79" spans="1:14" ht="25.65" x14ac:dyDescent="0.4">
      <c r="A79" s="2"/>
      <c r="B79" s="50" t="s">
        <v>67</v>
      </c>
      <c r="C79" s="18" t="s">
        <v>68</v>
      </c>
      <c r="D79" s="171" t="s">
        <v>1127</v>
      </c>
      <c r="E79" s="18" t="s">
        <v>218</v>
      </c>
      <c r="F79" s="18" t="s">
        <v>71</v>
      </c>
      <c r="G79" s="18" t="s">
        <v>107</v>
      </c>
      <c r="H79" s="13"/>
      <c r="I79" s="13"/>
      <c r="J79" s="13"/>
      <c r="K79" s="13"/>
      <c r="L79" s="13"/>
      <c r="M79" s="13"/>
      <c r="N79" s="13"/>
    </row>
    <row r="80" spans="1:14" ht="25.55" customHeight="1" x14ac:dyDescent="0.4">
      <c r="A80" s="2"/>
      <c r="B80" s="394" t="s">
        <v>1270</v>
      </c>
      <c r="C80" s="207" t="s">
        <v>949</v>
      </c>
      <c r="D80" s="317">
        <v>14.22</v>
      </c>
      <c r="E80" s="318">
        <v>18.88</v>
      </c>
      <c r="F80" s="66">
        <v>11.75</v>
      </c>
      <c r="G80" s="435" t="s">
        <v>220</v>
      </c>
      <c r="H80" s="53"/>
      <c r="I80" s="53"/>
      <c r="J80" s="53"/>
      <c r="K80" s="53"/>
      <c r="L80" s="53"/>
      <c r="M80" s="53"/>
      <c r="N80" s="53"/>
    </row>
    <row r="81" spans="1:14" x14ac:dyDescent="0.4">
      <c r="A81" s="2"/>
      <c r="B81" s="394"/>
      <c r="C81" s="207" t="s">
        <v>765</v>
      </c>
      <c r="D81" s="284"/>
      <c r="E81" s="284"/>
      <c r="F81" s="66"/>
      <c r="G81" s="436"/>
      <c r="H81" s="53"/>
      <c r="I81" s="53"/>
      <c r="J81" s="53"/>
      <c r="K81" s="53"/>
      <c r="L81" s="53"/>
      <c r="M81" s="53"/>
      <c r="N81" s="53"/>
    </row>
    <row r="82" spans="1:14" ht="26.95" x14ac:dyDescent="0.4">
      <c r="A82" s="2"/>
      <c r="B82" s="394"/>
      <c r="C82" s="319" t="s">
        <v>951</v>
      </c>
      <c r="D82" s="317">
        <v>23.02</v>
      </c>
      <c r="E82" s="318">
        <v>17.387724751761677</v>
      </c>
      <c r="F82" s="66">
        <v>24.54</v>
      </c>
      <c r="G82" s="436"/>
      <c r="H82" s="53"/>
      <c r="I82" s="53"/>
      <c r="J82" s="53"/>
      <c r="K82" s="53"/>
      <c r="L82" s="53"/>
      <c r="M82" s="53"/>
      <c r="N82" s="53"/>
    </row>
    <row r="83" spans="1:14" ht="26.95" x14ac:dyDescent="0.4">
      <c r="A83" s="2"/>
      <c r="B83" s="394"/>
      <c r="C83" s="319" t="s">
        <v>952</v>
      </c>
      <c r="D83" s="284">
        <v>14.74</v>
      </c>
      <c r="E83" s="284">
        <v>19.726572438707983</v>
      </c>
      <c r="F83" s="70">
        <v>14.4</v>
      </c>
      <c r="G83" s="436"/>
      <c r="H83" s="53"/>
      <c r="I83" s="53"/>
      <c r="J83" s="53"/>
      <c r="K83" s="53"/>
      <c r="L83" s="53"/>
      <c r="M83" s="53"/>
      <c r="N83" s="53"/>
    </row>
    <row r="84" spans="1:14" ht="26.95" x14ac:dyDescent="0.4">
      <c r="A84" s="2"/>
      <c r="B84" s="394"/>
      <c r="C84" s="319" t="s">
        <v>854</v>
      </c>
      <c r="D84" s="317">
        <v>3.39</v>
      </c>
      <c r="E84" s="318">
        <v>4.6162729126125264</v>
      </c>
      <c r="F84" s="66">
        <v>9.18</v>
      </c>
      <c r="G84" s="436"/>
      <c r="H84" s="53"/>
      <c r="I84" s="53"/>
      <c r="J84" s="53"/>
      <c r="K84" s="53"/>
      <c r="L84" s="53"/>
      <c r="M84" s="53"/>
      <c r="N84" s="53"/>
    </row>
    <row r="85" spans="1:14" x14ac:dyDescent="0.4">
      <c r="A85" s="2"/>
      <c r="B85" s="394"/>
      <c r="C85" s="319" t="s">
        <v>465</v>
      </c>
      <c r="D85" s="284">
        <v>3.01</v>
      </c>
      <c r="E85" s="284">
        <v>4.0481986095986873</v>
      </c>
      <c r="F85" s="66">
        <v>4.1500000000000004</v>
      </c>
      <c r="G85" s="436"/>
      <c r="H85" s="53"/>
      <c r="I85" s="53"/>
      <c r="J85" s="53"/>
      <c r="K85" s="53"/>
      <c r="L85" s="53"/>
      <c r="M85" s="53"/>
      <c r="N85" s="53"/>
    </row>
    <row r="86" spans="1:14" x14ac:dyDescent="0.4">
      <c r="A86" s="2"/>
      <c r="B86" s="394"/>
      <c r="C86" s="207" t="s">
        <v>74</v>
      </c>
      <c r="D86" s="317">
        <f>AVERAGE(D82:D85)</f>
        <v>11.04</v>
      </c>
      <c r="E86" s="318">
        <f>AVERAGE(E82:E85)</f>
        <v>11.444692178170218</v>
      </c>
      <c r="F86" s="70">
        <f>AVERAGE(F82:F85)</f>
        <v>13.067499999999999</v>
      </c>
      <c r="G86" s="436"/>
      <c r="H86" s="53"/>
      <c r="I86" s="53"/>
      <c r="J86" s="53"/>
      <c r="K86" s="53"/>
      <c r="L86" s="53"/>
      <c r="M86" s="53"/>
      <c r="N86" s="53"/>
    </row>
    <row r="87" spans="1:14" ht="26.5" x14ac:dyDescent="0.4">
      <c r="A87" s="2"/>
      <c r="B87" s="394" t="s">
        <v>75</v>
      </c>
      <c r="C87" s="207" t="s">
        <v>950</v>
      </c>
      <c r="D87" s="284">
        <v>5.27</v>
      </c>
      <c r="E87" s="284">
        <f>F67/E80</f>
        <v>8.0958686440677976</v>
      </c>
      <c r="F87" s="70">
        <f>I67/F80</f>
        <v>9.1361702127659576</v>
      </c>
      <c r="G87" s="436"/>
      <c r="H87" s="53"/>
      <c r="I87" s="53"/>
      <c r="J87" s="53"/>
      <c r="K87" s="53"/>
      <c r="L87" s="53"/>
      <c r="M87" s="53"/>
      <c r="N87" s="53"/>
    </row>
    <row r="88" spans="1:14" x14ac:dyDescent="0.4">
      <c r="A88" s="2"/>
      <c r="B88" s="394"/>
      <c r="C88" s="207" t="s">
        <v>73</v>
      </c>
      <c r="D88" s="317"/>
      <c r="E88" s="318"/>
      <c r="F88" s="66"/>
      <c r="G88" s="436"/>
      <c r="H88" s="53"/>
      <c r="I88" s="53"/>
      <c r="J88" s="53"/>
      <c r="K88" s="53"/>
      <c r="L88" s="53"/>
      <c r="M88" s="53"/>
      <c r="N88" s="53"/>
    </row>
    <row r="89" spans="1:14" ht="26.95" x14ac:dyDescent="0.4">
      <c r="A89" s="2"/>
      <c r="B89" s="394"/>
      <c r="C89" s="319" t="s">
        <v>951</v>
      </c>
      <c r="D89" s="284">
        <v>38.01</v>
      </c>
      <c r="E89" s="284">
        <v>49.8720070314384</v>
      </c>
      <c r="F89" s="66">
        <v>968.8</v>
      </c>
      <c r="G89" s="436"/>
      <c r="H89" s="53"/>
      <c r="I89" s="53"/>
      <c r="J89" s="53"/>
      <c r="K89" s="53"/>
      <c r="L89" s="53"/>
      <c r="M89" s="53"/>
      <c r="N89" s="53"/>
    </row>
    <row r="90" spans="1:14" ht="26.95" x14ac:dyDescent="0.4">
      <c r="A90" s="2"/>
      <c r="B90" s="394"/>
      <c r="C90" s="319" t="s">
        <v>952</v>
      </c>
      <c r="D90" s="317">
        <v>12.93</v>
      </c>
      <c r="E90" s="318">
        <v>16.3593886020318</v>
      </c>
      <c r="F90" s="70">
        <f>232.5/F83</f>
        <v>16.145833333333332</v>
      </c>
      <c r="G90" s="436"/>
      <c r="H90" s="53"/>
      <c r="I90" s="53"/>
      <c r="J90" s="53"/>
      <c r="K90" s="53"/>
      <c r="L90" s="53"/>
      <c r="M90" s="53"/>
      <c r="N90" s="53"/>
    </row>
    <row r="91" spans="1:14" ht="26.95" x14ac:dyDescent="0.4">
      <c r="A91" s="2"/>
      <c r="B91" s="394"/>
      <c r="C91" s="319" t="s">
        <v>854</v>
      </c>
      <c r="D91" s="284">
        <v>23.35</v>
      </c>
      <c r="E91" s="284">
        <v>12.618621072038801</v>
      </c>
      <c r="F91" s="70">
        <v>11.2</v>
      </c>
      <c r="G91" s="436"/>
      <c r="H91" s="53"/>
      <c r="I91" s="53"/>
      <c r="J91" s="53"/>
      <c r="K91" s="53"/>
      <c r="L91" s="53"/>
      <c r="M91" s="53"/>
      <c r="N91" s="53"/>
    </row>
    <row r="92" spans="1:14" x14ac:dyDescent="0.4">
      <c r="A92" s="2"/>
      <c r="B92" s="394"/>
      <c r="C92" s="319" t="s">
        <v>465</v>
      </c>
      <c r="D92" s="317">
        <v>15.93</v>
      </c>
      <c r="E92" s="318">
        <v>29.1815460490463</v>
      </c>
      <c r="F92" s="70">
        <f>38/F85</f>
        <v>9.1566265060240948</v>
      </c>
      <c r="G92" s="436"/>
      <c r="H92" s="53"/>
      <c r="I92" s="53" t="s">
        <v>693</v>
      </c>
      <c r="J92" s="53"/>
      <c r="K92" s="53"/>
      <c r="L92" s="53"/>
      <c r="M92" s="53"/>
      <c r="N92" s="53"/>
    </row>
    <row r="93" spans="1:14" x14ac:dyDescent="0.4">
      <c r="A93" s="2"/>
      <c r="B93" s="394"/>
      <c r="C93" s="207" t="s">
        <v>74</v>
      </c>
      <c r="D93" s="284">
        <f t="shared" ref="D93:E93" si="0">AVERAGE(D89:D92)</f>
        <v>22.555</v>
      </c>
      <c r="E93" s="284">
        <f t="shared" si="0"/>
        <v>27.007890688638827</v>
      </c>
      <c r="F93" s="70">
        <f>AVERAGE(F89:F92)</f>
        <v>251.32561495983936</v>
      </c>
      <c r="G93" s="436"/>
      <c r="H93" s="53"/>
      <c r="I93" s="53"/>
      <c r="J93" s="53"/>
      <c r="K93" s="53"/>
      <c r="L93" s="53"/>
      <c r="M93" s="53"/>
      <c r="N93" s="53"/>
    </row>
    <row r="94" spans="1:14" ht="26.5" x14ac:dyDescent="0.4">
      <c r="A94" s="2"/>
      <c r="B94" s="394" t="s">
        <v>76</v>
      </c>
      <c r="C94" s="207" t="s">
        <v>950</v>
      </c>
      <c r="D94" s="317">
        <v>0.1651</v>
      </c>
      <c r="E94" s="318">
        <f>4719.07/25481.87</f>
        <v>0.1851932373879939</v>
      </c>
      <c r="F94" s="70">
        <f>29.37/284.49</f>
        <v>0.10323737213961827</v>
      </c>
      <c r="G94" s="436"/>
      <c r="H94" s="178"/>
      <c r="I94" s="53"/>
      <c r="J94" s="53"/>
      <c r="K94" s="53"/>
      <c r="L94" s="53"/>
      <c r="M94" s="53"/>
      <c r="N94" s="53"/>
    </row>
    <row r="95" spans="1:14" x14ac:dyDescent="0.4">
      <c r="A95" s="2"/>
      <c r="B95" s="394"/>
      <c r="C95" s="207" t="s">
        <v>73</v>
      </c>
      <c r="D95" s="284"/>
      <c r="E95" s="284"/>
      <c r="F95" s="66"/>
      <c r="G95" s="436"/>
      <c r="H95" s="53"/>
      <c r="I95" s="53"/>
      <c r="J95" s="53"/>
      <c r="K95" s="53"/>
      <c r="L95" s="53"/>
      <c r="M95" s="53"/>
      <c r="N95" s="53"/>
    </row>
    <row r="96" spans="1:14" ht="26.95" x14ac:dyDescent="0.4">
      <c r="A96" s="2"/>
      <c r="B96" s="394"/>
      <c r="C96" s="319" t="s">
        <v>951</v>
      </c>
      <c r="D96" s="317">
        <v>0.1676</v>
      </c>
      <c r="E96" s="318">
        <v>18.316776945648598</v>
      </c>
      <c r="F96" s="71">
        <f>88644.11/984656.67</f>
        <v>9.002539941155327E-2</v>
      </c>
      <c r="G96" s="436"/>
      <c r="H96" s="53"/>
      <c r="I96" s="53"/>
      <c r="J96" s="53"/>
      <c r="K96" s="53"/>
      <c r="L96" s="53"/>
      <c r="M96" s="53"/>
      <c r="N96" s="53"/>
    </row>
    <row r="97" spans="1:14" ht="26.95" x14ac:dyDescent="0.4">
      <c r="A97" s="2"/>
      <c r="B97" s="394"/>
      <c r="C97" s="319" t="s">
        <v>952</v>
      </c>
      <c r="D97" s="284">
        <v>0.2041</v>
      </c>
      <c r="E97" s="284">
        <v>22.665683349535701</v>
      </c>
      <c r="F97" s="71">
        <f>330.1/2433.98</f>
        <v>0.13562149237052071</v>
      </c>
      <c r="G97" s="436"/>
      <c r="H97" s="53"/>
      <c r="I97" s="53"/>
      <c r="J97" s="53"/>
      <c r="K97" s="53"/>
      <c r="L97" s="53"/>
      <c r="M97" s="53"/>
      <c r="N97" s="53"/>
    </row>
    <row r="98" spans="1:14" ht="26.95" x14ac:dyDescent="0.4">
      <c r="A98" s="2"/>
      <c r="B98" s="394"/>
      <c r="C98" s="319" t="s">
        <v>854</v>
      </c>
      <c r="D98" s="317">
        <v>0.14879999999999999</v>
      </c>
      <c r="E98" s="318">
        <v>16.0764679271619</v>
      </c>
      <c r="F98" s="91">
        <v>0.20349999999999999</v>
      </c>
      <c r="G98" s="436"/>
      <c r="H98" s="53"/>
      <c r="I98" s="53"/>
      <c r="J98" s="53"/>
      <c r="K98" s="53"/>
      <c r="L98" s="53"/>
      <c r="M98" s="53"/>
      <c r="N98" s="53"/>
    </row>
    <row r="99" spans="1:14" x14ac:dyDescent="0.4">
      <c r="A99" s="2"/>
      <c r="B99" s="394"/>
      <c r="C99" s="201" t="s">
        <v>465</v>
      </c>
      <c r="D99" s="284">
        <v>0.14910000000000001</v>
      </c>
      <c r="E99" s="284">
        <v>16.017817078139601</v>
      </c>
      <c r="F99" s="71">
        <f>2079.82/13237.49</f>
        <v>0.15711588828395717</v>
      </c>
      <c r="G99" s="436"/>
      <c r="H99" s="53"/>
      <c r="I99" s="53"/>
      <c r="J99" s="53"/>
      <c r="K99" s="53"/>
      <c r="L99" s="53"/>
      <c r="M99" s="53"/>
      <c r="N99" s="53"/>
    </row>
    <row r="100" spans="1:14" x14ac:dyDescent="0.4">
      <c r="A100" s="2"/>
      <c r="B100" s="394"/>
      <c r="C100" s="207" t="s">
        <v>74</v>
      </c>
      <c r="D100" s="317">
        <f t="shared" ref="D100:E100" si="1">AVERAGE(D96:D99)</f>
        <v>0.16739999999999999</v>
      </c>
      <c r="E100" s="318">
        <f t="shared" si="1"/>
        <v>18.269186325121449</v>
      </c>
      <c r="F100" s="91">
        <f>AVERAGE(F96:F99)</f>
        <v>0.14656569501650779</v>
      </c>
      <c r="G100" s="436"/>
      <c r="H100" s="53"/>
      <c r="I100" s="53"/>
      <c r="J100" s="53"/>
      <c r="K100" s="53"/>
      <c r="L100" s="53"/>
      <c r="M100" s="53"/>
      <c r="N100" s="53"/>
    </row>
    <row r="101" spans="1:14" ht="26.5" x14ac:dyDescent="0.4">
      <c r="A101" s="2"/>
      <c r="B101" s="394" t="s">
        <v>77</v>
      </c>
      <c r="C101" s="207" t="s">
        <v>950</v>
      </c>
      <c r="D101" s="284">
        <v>86.16</v>
      </c>
      <c r="E101" s="284">
        <f>25481.87*100000/24998910</f>
        <v>101.93192423189652</v>
      </c>
      <c r="F101" s="70">
        <f>284.49/2.5</f>
        <v>113.79600000000001</v>
      </c>
      <c r="G101" s="436"/>
      <c r="H101" s="179"/>
      <c r="I101" s="53" t="s">
        <v>693</v>
      </c>
      <c r="J101" s="53"/>
      <c r="K101" s="53"/>
      <c r="L101" s="53"/>
      <c r="M101" s="53"/>
      <c r="N101" s="53"/>
    </row>
    <row r="102" spans="1:14" x14ac:dyDescent="0.4">
      <c r="A102" s="2"/>
      <c r="B102" s="394"/>
      <c r="C102" s="207" t="s">
        <v>73</v>
      </c>
      <c r="D102" s="317"/>
      <c r="E102" s="318"/>
      <c r="F102" s="66"/>
      <c r="G102" s="436"/>
      <c r="H102" s="53"/>
      <c r="I102" s="53"/>
      <c r="J102" s="53"/>
      <c r="K102" s="53"/>
      <c r="L102" s="53"/>
      <c r="M102" s="53"/>
      <c r="N102" s="53"/>
    </row>
    <row r="103" spans="1:14" ht="26.95" x14ac:dyDescent="0.4">
      <c r="A103" s="2"/>
      <c r="B103" s="411"/>
      <c r="C103" s="319" t="s">
        <v>951</v>
      </c>
      <c r="D103" s="284">
        <v>137.35</v>
      </c>
      <c r="E103" s="284">
        <v>4.6427978796056495</v>
      </c>
      <c r="F103" s="70">
        <f>984656.67/3619.185</f>
        <v>272.06585736844067</v>
      </c>
      <c r="G103" s="436"/>
      <c r="H103" s="53"/>
      <c r="I103" s="53"/>
      <c r="J103" s="53"/>
      <c r="K103" s="53"/>
      <c r="L103" s="53"/>
      <c r="M103" s="53"/>
      <c r="N103" s="53"/>
    </row>
    <row r="104" spans="1:14" ht="26.95" x14ac:dyDescent="0.4">
      <c r="A104" s="2"/>
      <c r="B104" s="411"/>
      <c r="C104" s="319" t="s">
        <v>952</v>
      </c>
      <c r="D104" s="317">
        <v>72.25</v>
      </c>
      <c r="E104" s="318">
        <v>3.1503083279841793</v>
      </c>
      <c r="F104" s="147">
        <f>2433.98/22.93</f>
        <v>106.14827736589621</v>
      </c>
      <c r="G104" s="436"/>
      <c r="H104" s="53"/>
      <c r="I104" s="53"/>
      <c r="J104" s="53"/>
      <c r="K104" s="53"/>
      <c r="L104" s="53"/>
      <c r="M104" s="53"/>
      <c r="N104" s="53"/>
    </row>
    <row r="105" spans="1:14" ht="26.95" x14ac:dyDescent="0.4">
      <c r="A105" s="2"/>
      <c r="B105" s="411"/>
      <c r="C105" s="319" t="s">
        <v>854</v>
      </c>
      <c r="D105" s="284">
        <v>22.77</v>
      </c>
      <c r="E105" s="284">
        <v>1.5917401564678324</v>
      </c>
      <c r="F105" s="66">
        <v>44.1</v>
      </c>
      <c r="G105" s="436"/>
      <c r="H105" s="53"/>
      <c r="I105" s="53"/>
      <c r="J105" s="53"/>
      <c r="K105" s="53"/>
      <c r="L105" s="53"/>
      <c r="M105" s="53"/>
      <c r="N105" s="53"/>
    </row>
    <row r="106" spans="1:14" x14ac:dyDescent="0.4">
      <c r="A106" s="2"/>
      <c r="B106" s="411"/>
      <c r="C106" s="319" t="s">
        <v>465</v>
      </c>
      <c r="D106" s="317">
        <v>20.16</v>
      </c>
      <c r="E106" s="318">
        <v>4.0237544813754402</v>
      </c>
      <c r="F106" s="70">
        <f>13237.49/501.04</f>
        <v>26.420026345201979</v>
      </c>
      <c r="G106" s="436"/>
      <c r="H106" s="53"/>
      <c r="I106" s="53"/>
      <c r="J106" s="53"/>
      <c r="K106" s="53" t="s">
        <v>693</v>
      </c>
      <c r="L106" s="53"/>
      <c r="M106" s="53"/>
      <c r="N106" s="53"/>
    </row>
    <row r="107" spans="1:14" x14ac:dyDescent="0.4">
      <c r="A107" s="2"/>
      <c r="B107" s="411"/>
      <c r="C107" s="207" t="s">
        <v>74</v>
      </c>
      <c r="D107" s="284">
        <f t="shared" ref="D107:E107" si="2">AVERAGE(D103:D106)</f>
        <v>63.1325</v>
      </c>
      <c r="E107" s="284">
        <f t="shared" si="2"/>
        <v>3.3521502113582757</v>
      </c>
      <c r="F107" s="70">
        <f>AVERAGE(F103:F106)</f>
        <v>112.18354026988472</v>
      </c>
      <c r="G107" s="436"/>
      <c r="H107" s="53"/>
      <c r="I107" s="53"/>
      <c r="J107" s="53"/>
      <c r="K107" s="53"/>
      <c r="L107" s="53"/>
      <c r="M107" s="53"/>
      <c r="N107" s="53"/>
    </row>
    <row r="108" spans="1:14" x14ac:dyDescent="0.4">
      <c r="A108" s="1"/>
      <c r="B108" s="412"/>
      <c r="C108" s="413"/>
      <c r="D108" s="413"/>
      <c r="E108" s="413"/>
      <c r="F108" s="413"/>
      <c r="G108" s="414"/>
      <c r="H108" s="1"/>
      <c r="I108" s="1"/>
      <c r="J108" s="1"/>
      <c r="K108" s="1"/>
      <c r="L108" s="1"/>
      <c r="M108" s="1"/>
      <c r="N108" s="1"/>
    </row>
    <row r="109" spans="1:14" x14ac:dyDescent="0.4">
      <c r="A109" s="2"/>
      <c r="B109" s="415" t="s">
        <v>972</v>
      </c>
      <c r="C109" s="416"/>
      <c r="D109" s="416"/>
      <c r="E109" s="416"/>
      <c r="F109" s="416"/>
      <c r="G109" s="417"/>
      <c r="H109" s="53"/>
      <c r="I109" s="53"/>
      <c r="J109" s="53"/>
      <c r="K109" s="53"/>
      <c r="L109" s="53"/>
      <c r="M109" s="53"/>
      <c r="N109" s="53"/>
    </row>
    <row r="110" spans="1:14" x14ac:dyDescent="0.4">
      <c r="A110" s="2"/>
      <c r="B110" s="418" t="s">
        <v>85</v>
      </c>
      <c r="C110" s="419"/>
      <c r="D110" s="419"/>
      <c r="E110" s="419"/>
      <c r="F110" s="419"/>
      <c r="G110" s="420"/>
      <c r="H110" s="53"/>
      <c r="I110" s="53"/>
      <c r="J110" s="53"/>
      <c r="K110" s="53"/>
      <c r="L110" s="53"/>
      <c r="M110" s="53"/>
      <c r="N110" s="53"/>
    </row>
    <row r="111" spans="1:14" x14ac:dyDescent="0.4">
      <c r="A111" s="2"/>
      <c r="B111" s="363"/>
      <c r="C111" s="368"/>
      <c r="D111" s="368"/>
      <c r="E111" s="368"/>
      <c r="F111" s="368"/>
      <c r="G111" s="369"/>
      <c r="H111" s="53"/>
      <c r="I111" s="53"/>
      <c r="J111" s="53"/>
      <c r="K111" s="53"/>
      <c r="L111" s="53"/>
      <c r="M111" s="53"/>
      <c r="N111" s="53"/>
    </row>
    <row r="112" spans="1:14" x14ac:dyDescent="0.4">
      <c r="A112" s="8"/>
      <c r="B112" s="8"/>
      <c r="C112" s="407"/>
      <c r="D112" s="407"/>
      <c r="E112" s="407"/>
      <c r="F112" s="407"/>
      <c r="G112" s="407"/>
      <c r="H112" s="53"/>
      <c r="I112" s="53"/>
      <c r="J112" s="8"/>
      <c r="K112" s="8"/>
      <c r="L112" s="8"/>
      <c r="M112" s="8"/>
      <c r="N112" s="8"/>
    </row>
    <row r="113" spans="1:14" x14ac:dyDescent="0.4">
      <c r="A113" s="9">
        <v>14</v>
      </c>
      <c r="B113" s="61" t="s">
        <v>78</v>
      </c>
      <c r="C113" s="356" t="s">
        <v>41</v>
      </c>
      <c r="D113" s="357"/>
      <c r="E113" s="357"/>
      <c r="F113" s="357"/>
      <c r="G113" s="408"/>
      <c r="H113" s="8"/>
      <c r="I113" s="8"/>
      <c r="J113" s="8"/>
      <c r="K113" s="8"/>
      <c r="L113" s="8"/>
      <c r="M113" s="8"/>
      <c r="N113" s="8"/>
    </row>
    <row r="114" spans="1:14" x14ac:dyDescent="0.4">
      <c r="A114" s="8"/>
      <c r="B114" s="8"/>
      <c r="C114" s="69"/>
      <c r="D114" s="180"/>
      <c r="E114" s="69"/>
      <c r="F114" s="69"/>
      <c r="G114" s="69"/>
      <c r="H114" s="8"/>
      <c r="I114" s="8"/>
      <c r="J114" s="8"/>
      <c r="K114" s="8"/>
      <c r="L114" s="8"/>
      <c r="M114" s="8"/>
      <c r="N114" s="8"/>
    </row>
    <row r="115" spans="1:14" x14ac:dyDescent="0.4">
      <c r="A115" s="8"/>
      <c r="B115" s="8"/>
      <c r="C115" s="8"/>
      <c r="D115" s="167"/>
      <c r="E115" s="8"/>
      <c r="F115" s="8"/>
      <c r="G115" s="8"/>
      <c r="H115" s="8"/>
      <c r="I115" s="8"/>
      <c r="J115" s="8"/>
      <c r="K115" s="8"/>
      <c r="L115" s="8"/>
      <c r="M115" s="8"/>
      <c r="N115" s="8"/>
    </row>
    <row r="116" spans="1:14" ht="15.05" customHeight="1" x14ac:dyDescent="0.4">
      <c r="A116" s="8"/>
      <c r="B116" s="548" t="s">
        <v>955</v>
      </c>
      <c r="C116" s="549"/>
      <c r="D116" s="549"/>
      <c r="E116" s="549"/>
      <c r="F116" s="549"/>
      <c r="G116" s="549"/>
      <c r="H116" s="295"/>
      <c r="I116" s="8"/>
      <c r="J116" s="8"/>
      <c r="K116" s="8"/>
      <c r="L116" s="8"/>
      <c r="M116" s="8"/>
      <c r="N116" s="8"/>
    </row>
    <row r="118" spans="1:14" ht="25.55" customHeight="1" x14ac:dyDescent="0.4">
      <c r="B118" s="579" t="s">
        <v>1232</v>
      </c>
      <c r="C118" s="579"/>
      <c r="D118" s="579"/>
      <c r="E118" s="579"/>
      <c r="F118" s="579"/>
      <c r="G118" s="579"/>
    </row>
    <row r="119" spans="1:14" x14ac:dyDescent="0.4">
      <c r="C119" s="238"/>
    </row>
    <row r="120" spans="1:14" x14ac:dyDescent="0.4">
      <c r="C120" s="228"/>
      <c r="D120" s="228"/>
    </row>
    <row r="121" spans="1:14" x14ac:dyDescent="0.4">
      <c r="C121" s="228"/>
    </row>
    <row r="122" spans="1:14" x14ac:dyDescent="0.4">
      <c r="F122" t="s">
        <v>1269</v>
      </c>
    </row>
  </sheetData>
  <sheetProtection algorithmName="SHA-512" hashValue="n/hO/bnDiCFo+iFDStVPJxryrxPSgNPndN3M+QWthNYm/iymZMDXMuVCOTylZ13XEsQ7HxMJF1DZ4MBjeddNFQ==" saltValue="WLQfzayrNPjGjwOzd3CVkg==" spinCount="100000" sheet="1" objects="1" scenarios="1"/>
  <mergeCells count="68">
    <mergeCell ref="B12:E12"/>
    <mergeCell ref="C14:E14"/>
    <mergeCell ref="C11:E11"/>
    <mergeCell ref="A1:B1"/>
    <mergeCell ref="C5:E5"/>
    <mergeCell ref="C3:E3"/>
    <mergeCell ref="C8:E8"/>
    <mergeCell ref="B9:E9"/>
    <mergeCell ref="B6:E6"/>
    <mergeCell ref="C63:E63"/>
    <mergeCell ref="E28:E31"/>
    <mergeCell ref="B17:E17"/>
    <mergeCell ref="C18:E18"/>
    <mergeCell ref="C19:E19"/>
    <mergeCell ref="C20:E20"/>
    <mergeCell ref="C21:E21"/>
    <mergeCell ref="C22:E22"/>
    <mergeCell ref="B25:E25"/>
    <mergeCell ref="B26:E26"/>
    <mergeCell ref="B52:B53"/>
    <mergeCell ref="C52:E53"/>
    <mergeCell ref="B32:E32"/>
    <mergeCell ref="B34:E34"/>
    <mergeCell ref="B40:E40"/>
    <mergeCell ref="C41:E41"/>
    <mergeCell ref="C42:E42"/>
    <mergeCell ref="C43:E43"/>
    <mergeCell ref="B44:E44"/>
    <mergeCell ref="B46:E46"/>
    <mergeCell ref="B49:E49"/>
    <mergeCell ref="B51:E51"/>
    <mergeCell ref="B73:N73"/>
    <mergeCell ref="C54:E54"/>
    <mergeCell ref="C55:E55"/>
    <mergeCell ref="B56:E56"/>
    <mergeCell ref="B57:E57"/>
    <mergeCell ref="C59:E59"/>
    <mergeCell ref="B65:B66"/>
    <mergeCell ref="C65:C66"/>
    <mergeCell ref="D65:D66"/>
    <mergeCell ref="E65:E66"/>
    <mergeCell ref="F65:H65"/>
    <mergeCell ref="I65:K65"/>
    <mergeCell ref="L65:N65"/>
    <mergeCell ref="B71:N71"/>
    <mergeCell ref="B72:N72"/>
    <mergeCell ref="C69:N69"/>
    <mergeCell ref="B80:B86"/>
    <mergeCell ref="G80:G107"/>
    <mergeCell ref="B87:B93"/>
    <mergeCell ref="B94:B100"/>
    <mergeCell ref="B101:B107"/>
    <mergeCell ref="B118:G118"/>
    <mergeCell ref="B116:G116"/>
    <mergeCell ref="B15:E15"/>
    <mergeCell ref="C35:E35"/>
    <mergeCell ref="C36:E36"/>
    <mergeCell ref="C37:E37"/>
    <mergeCell ref="B70:N70"/>
    <mergeCell ref="B108:G108"/>
    <mergeCell ref="B109:G109"/>
    <mergeCell ref="B110:G110"/>
    <mergeCell ref="B111:G111"/>
    <mergeCell ref="C112:G112"/>
    <mergeCell ref="C113:G113"/>
    <mergeCell ref="B74:N74"/>
    <mergeCell ref="B75:N75"/>
    <mergeCell ref="B77:G77"/>
  </mergeCells>
  <pageMargins left="0" right="0" top="0.42499999999999999" bottom="0.75" header="0.10625" footer="0.3"/>
  <pageSetup paperSize="9" scale="60" orientation="portrait"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16"/>
  <sheetViews>
    <sheetView view="pageBreakPreview" topLeftCell="A61" zoomScale="70" zoomScaleNormal="100" zoomScaleSheetLayoutView="70" zoomScalePageLayoutView="50" workbookViewId="0">
      <selection activeCell="C5" sqref="C5:G5"/>
    </sheetView>
  </sheetViews>
  <sheetFormatPr defaultRowHeight="14.6" x14ac:dyDescent="0.4"/>
  <cols>
    <col min="1" max="1" width="6.4609375" bestFit="1" customWidth="1"/>
    <col min="2" max="2" width="46" bestFit="1" customWidth="1"/>
    <col min="3" max="3" width="19.53515625" customWidth="1"/>
    <col min="4" max="4" width="18.07421875" customWidth="1"/>
    <col min="5" max="5" width="18.69140625" customWidth="1"/>
    <col min="6" max="6" width="9.3046875" bestFit="1" customWidth="1"/>
    <col min="8" max="8" width="10" bestFit="1" customWidth="1"/>
    <col min="9" max="9" width="7.074218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25.55" customHeight="1" x14ac:dyDescent="0.4">
      <c r="A3" s="2" t="s">
        <v>1</v>
      </c>
      <c r="B3" s="3" t="s">
        <v>2</v>
      </c>
      <c r="C3" s="497" t="s">
        <v>956</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697</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1048</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59.65</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3.0099999999999998E-2</v>
      </c>
      <c r="D18" s="367"/>
      <c r="E18" s="367"/>
      <c r="F18" s="15"/>
      <c r="G18" s="13"/>
      <c r="H18" s="13"/>
      <c r="I18" s="13"/>
      <c r="J18" s="13"/>
      <c r="K18" s="13"/>
      <c r="L18" s="13"/>
      <c r="M18" s="13"/>
      <c r="N18" s="13"/>
    </row>
    <row r="19" spans="1:14" ht="25.65" x14ac:dyDescent="0.4">
      <c r="A19" s="9"/>
      <c r="B19" s="14" t="s">
        <v>1047</v>
      </c>
      <c r="C19" s="367">
        <v>1E-3</v>
      </c>
      <c r="D19" s="367"/>
      <c r="E19" s="367"/>
      <c r="F19" s="15"/>
      <c r="G19" s="13" t="s">
        <v>693</v>
      </c>
      <c r="H19" s="8"/>
      <c r="I19" s="13"/>
      <c r="J19" s="13"/>
      <c r="K19" s="13"/>
      <c r="L19" s="13"/>
      <c r="M19" s="13"/>
      <c r="N19" s="13"/>
    </row>
    <row r="20" spans="1:14" x14ac:dyDescent="0.4">
      <c r="A20" s="9"/>
      <c r="B20" s="16" t="s">
        <v>605</v>
      </c>
      <c r="C20" s="447" t="s">
        <v>13</v>
      </c>
      <c r="D20" s="447"/>
      <c r="E20" s="447"/>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c r="B24" s="15"/>
      <c r="C24" s="15"/>
      <c r="D24" s="170"/>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c r="K25" s="8"/>
      <c r="L25" s="8"/>
      <c r="M25" s="8"/>
      <c r="N25" s="8"/>
    </row>
    <row r="26" spans="1:14" x14ac:dyDescent="0.4">
      <c r="A26" s="9"/>
      <c r="B26" s="370" t="s">
        <v>19</v>
      </c>
      <c r="C26" s="371"/>
      <c r="D26" s="371"/>
      <c r="E26" s="372"/>
      <c r="F26" s="15"/>
      <c r="G26" s="8"/>
      <c r="H26" s="8"/>
      <c r="I26" s="8"/>
      <c r="J26" s="8"/>
      <c r="K26" s="8"/>
      <c r="L26" s="8"/>
      <c r="M26" s="8"/>
      <c r="N26" s="8"/>
    </row>
    <row r="27" spans="1:14" x14ac:dyDescent="0.4">
      <c r="A27" s="9"/>
      <c r="B27" s="17" t="s">
        <v>20</v>
      </c>
      <c r="C27" s="18" t="s">
        <v>262</v>
      </c>
      <c r="D27" s="171" t="s">
        <v>263</v>
      </c>
      <c r="E27" s="18" t="s">
        <v>23</v>
      </c>
      <c r="F27" s="15"/>
      <c r="G27" s="8"/>
      <c r="H27" s="8"/>
      <c r="I27" s="8"/>
      <c r="J27" s="8"/>
      <c r="K27" s="8"/>
      <c r="L27" s="8"/>
      <c r="M27" s="8"/>
      <c r="N27" s="8"/>
    </row>
    <row r="28" spans="1:14" ht="15.05" customHeight="1" x14ac:dyDescent="0.4">
      <c r="A28" s="9"/>
      <c r="B28" s="19" t="s">
        <v>24</v>
      </c>
      <c r="C28" s="299">
        <v>6365.33</v>
      </c>
      <c r="D28" s="592" t="s">
        <v>264</v>
      </c>
      <c r="E28" s="540" t="s">
        <v>203</v>
      </c>
      <c r="F28" s="15"/>
      <c r="G28" s="8"/>
      <c r="H28" s="8"/>
      <c r="I28" s="8"/>
      <c r="J28" s="8"/>
      <c r="K28" s="8"/>
      <c r="L28" s="8"/>
      <c r="M28" s="8"/>
      <c r="N28" s="8"/>
    </row>
    <row r="29" spans="1:14" x14ac:dyDescent="0.4">
      <c r="A29" s="9"/>
      <c r="B29" s="19" t="s">
        <v>25</v>
      </c>
      <c r="C29" s="298">
        <v>529.59</v>
      </c>
      <c r="D29" s="593"/>
      <c r="E29" s="541"/>
      <c r="F29" s="15"/>
      <c r="G29" s="8"/>
      <c r="H29" s="8"/>
      <c r="I29" s="8"/>
      <c r="J29" s="8"/>
      <c r="K29" s="8"/>
      <c r="L29" s="8"/>
      <c r="M29" s="8"/>
      <c r="N29" s="8"/>
    </row>
    <row r="30" spans="1:14" x14ac:dyDescent="0.4">
      <c r="A30" s="9"/>
      <c r="B30" s="19" t="s">
        <v>26</v>
      </c>
      <c r="C30" s="298">
        <v>1144.8</v>
      </c>
      <c r="D30" s="593"/>
      <c r="E30" s="541"/>
      <c r="F30" s="15"/>
      <c r="G30" s="8"/>
      <c r="H30" s="8"/>
      <c r="I30" s="8"/>
      <c r="J30" s="8"/>
      <c r="K30" s="8"/>
      <c r="L30" s="8"/>
      <c r="M30" s="8"/>
      <c r="N30" s="8"/>
    </row>
    <row r="31" spans="1:14" x14ac:dyDescent="0.4">
      <c r="A31" s="9"/>
      <c r="B31" s="19" t="s">
        <v>27</v>
      </c>
      <c r="C31" s="298">
        <v>2521.88</v>
      </c>
      <c r="D31" s="594"/>
      <c r="E31" s="542"/>
      <c r="F31" s="15"/>
      <c r="G31" s="8"/>
      <c r="H31" s="8"/>
      <c r="I31" s="8"/>
      <c r="J31" s="8"/>
      <c r="K31" s="8"/>
      <c r="L31" s="8"/>
      <c r="M31" s="8"/>
      <c r="N31" s="8"/>
    </row>
    <row r="32" spans="1:14" x14ac:dyDescent="0.4">
      <c r="A32" s="9"/>
      <c r="B32" s="363" t="s">
        <v>294</v>
      </c>
      <c r="C32" s="368"/>
      <c r="D32" s="368"/>
      <c r="E32" s="369"/>
      <c r="F32" s="15"/>
      <c r="G32" s="8"/>
      <c r="H32" s="8"/>
      <c r="I32" s="8"/>
      <c r="J32" s="8"/>
      <c r="K32" s="8"/>
      <c r="L32" s="8"/>
      <c r="M32" s="8"/>
      <c r="N32" s="8"/>
    </row>
    <row r="33" spans="1:14" x14ac:dyDescent="0.4">
      <c r="A33" s="9"/>
      <c r="B33" s="13"/>
      <c r="C33" s="15"/>
      <c r="D33" s="170"/>
      <c r="E33" s="15"/>
      <c r="F33" s="15"/>
      <c r="G33" s="8"/>
      <c r="H33" s="8"/>
      <c r="I33" s="8"/>
      <c r="J33" s="8"/>
      <c r="K33" s="8"/>
      <c r="L33" s="8"/>
      <c r="M33" s="8"/>
      <c r="N33" s="8"/>
    </row>
    <row r="34" spans="1:14" x14ac:dyDescent="0.4">
      <c r="A34" s="9">
        <v>7</v>
      </c>
      <c r="B34" s="365" t="s">
        <v>28</v>
      </c>
      <c r="C34" s="365"/>
      <c r="D34" s="365"/>
      <c r="E34" s="365"/>
      <c r="F34" s="11"/>
      <c r="G34" s="11"/>
      <c r="H34" s="11"/>
      <c r="I34" s="11"/>
      <c r="J34" s="11"/>
      <c r="K34" s="8"/>
      <c r="L34" s="8"/>
      <c r="M34" s="8"/>
      <c r="N34" s="8"/>
    </row>
    <row r="35" spans="1:14" x14ac:dyDescent="0.4">
      <c r="A35" s="9"/>
      <c r="B35" s="17" t="s">
        <v>29</v>
      </c>
      <c r="C35" s="446" t="s">
        <v>30</v>
      </c>
      <c r="D35" s="446"/>
      <c r="E35" s="446"/>
      <c r="F35" s="13"/>
      <c r="G35" s="8"/>
      <c r="H35" s="8"/>
      <c r="I35" s="8"/>
      <c r="J35" s="8"/>
      <c r="K35" s="8"/>
      <c r="L35" s="8"/>
      <c r="M35" s="8"/>
      <c r="N35" s="8"/>
    </row>
    <row r="36" spans="1:14" ht="25.55" customHeight="1" x14ac:dyDescent="0.4">
      <c r="A36" s="9"/>
      <c r="B36" s="17" t="s">
        <v>31</v>
      </c>
      <c r="C36" s="446" t="s">
        <v>320</v>
      </c>
      <c r="D36" s="446"/>
      <c r="E36" s="446"/>
      <c r="F36" s="13"/>
      <c r="G36" s="8"/>
      <c r="H36" s="8"/>
      <c r="I36" s="8"/>
      <c r="J36" s="8"/>
      <c r="K36" s="8"/>
      <c r="L36" s="8"/>
      <c r="M36" s="8"/>
      <c r="N36" s="8"/>
    </row>
    <row r="37" spans="1:14" ht="25.55" customHeight="1" x14ac:dyDescent="0.4">
      <c r="A37" s="9"/>
      <c r="B37" s="17" t="s">
        <v>32</v>
      </c>
      <c r="C37" s="446" t="s">
        <v>201</v>
      </c>
      <c r="D37" s="446"/>
      <c r="E37" s="446"/>
      <c r="F37" s="13"/>
      <c r="G37" s="8"/>
      <c r="H37" s="8"/>
      <c r="I37" s="8"/>
      <c r="J37" s="8"/>
      <c r="K37" s="8"/>
      <c r="L37" s="8"/>
      <c r="M37" s="8"/>
      <c r="N37" s="8"/>
    </row>
    <row r="38" spans="1:14" x14ac:dyDescent="0.4">
      <c r="A38" s="9"/>
      <c r="B38" s="8"/>
      <c r="C38" s="13"/>
      <c r="D38" s="169"/>
      <c r="E38" s="13"/>
      <c r="F38" s="13"/>
      <c r="G38" s="8"/>
      <c r="H38" s="8"/>
      <c r="I38" s="8"/>
      <c r="J38" s="8"/>
      <c r="K38" s="8"/>
      <c r="L38" s="8"/>
      <c r="M38" s="8"/>
      <c r="N38" s="8"/>
    </row>
    <row r="39" spans="1:14" x14ac:dyDescent="0.4">
      <c r="A39" s="9"/>
      <c r="B39" s="15"/>
      <c r="C39" s="13"/>
      <c r="D39" s="169"/>
      <c r="E39" s="13"/>
      <c r="F39" s="13"/>
      <c r="G39" s="8"/>
      <c r="H39" s="8"/>
      <c r="I39" s="8"/>
      <c r="J39" s="8"/>
      <c r="K39" s="8"/>
      <c r="L39" s="8"/>
      <c r="M39" s="8"/>
      <c r="N39" s="8"/>
    </row>
    <row r="40" spans="1:14" x14ac:dyDescent="0.4">
      <c r="A40" s="9">
        <v>8</v>
      </c>
      <c r="B40" s="365" t="s">
        <v>1084</v>
      </c>
      <c r="C40" s="365"/>
      <c r="D40" s="365"/>
      <c r="E40" s="365"/>
      <c r="F40" s="11"/>
      <c r="G40" s="11"/>
      <c r="H40" s="11"/>
      <c r="I40" s="11"/>
      <c r="J40" s="11"/>
      <c r="K40" s="8"/>
      <c r="L40" s="8"/>
      <c r="M40" s="8"/>
      <c r="N40" s="8"/>
    </row>
    <row r="41" spans="1:14" ht="33.049999999999997" customHeight="1" x14ac:dyDescent="0.4">
      <c r="A41" s="9"/>
      <c r="B41" s="17" t="s">
        <v>34</v>
      </c>
      <c r="C41" s="373" t="s">
        <v>1251</v>
      </c>
      <c r="D41" s="374"/>
      <c r="E41" s="375"/>
      <c r="F41" s="13"/>
      <c r="G41" s="8"/>
      <c r="H41" s="8"/>
      <c r="I41" s="8"/>
      <c r="J41" s="8"/>
      <c r="K41" s="8"/>
      <c r="L41" s="8"/>
      <c r="M41" s="8"/>
      <c r="N41" s="8"/>
    </row>
    <row r="42" spans="1:14" x14ac:dyDescent="0.4">
      <c r="A42" s="9"/>
      <c r="B42" s="17" t="s">
        <v>31</v>
      </c>
      <c r="C42" s="373" t="s">
        <v>320</v>
      </c>
      <c r="D42" s="374"/>
      <c r="E42" s="375"/>
      <c r="F42" s="13"/>
      <c r="G42" s="8"/>
      <c r="H42" s="8"/>
      <c r="I42" s="8"/>
      <c r="J42" s="8"/>
      <c r="K42" s="8"/>
      <c r="L42" s="8"/>
      <c r="M42" s="8"/>
      <c r="N42" s="8"/>
    </row>
    <row r="43" spans="1:14" x14ac:dyDescent="0.4">
      <c r="A43" s="9"/>
      <c r="B43" s="17" t="s">
        <v>32</v>
      </c>
      <c r="C43" s="446" t="s">
        <v>201</v>
      </c>
      <c r="D43" s="446"/>
      <c r="E43" s="446"/>
      <c r="F43" s="13"/>
      <c r="G43" s="8"/>
      <c r="H43" s="8"/>
      <c r="I43" s="8"/>
      <c r="J43" s="8"/>
      <c r="K43" s="8"/>
      <c r="L43" s="8"/>
      <c r="M43" s="8"/>
      <c r="N43" s="8"/>
    </row>
    <row r="44" spans="1:14" x14ac:dyDescent="0.4">
      <c r="A44" s="9"/>
      <c r="B44" s="363" t="s">
        <v>848</v>
      </c>
      <c r="C44" s="368"/>
      <c r="D44" s="368"/>
      <c r="E44" s="369"/>
      <c r="F44" s="13"/>
      <c r="G44" s="8"/>
      <c r="H44" s="8"/>
      <c r="I44" s="8"/>
      <c r="J44" s="8"/>
      <c r="K44" s="8"/>
      <c r="L44" s="8"/>
      <c r="M44" s="8"/>
      <c r="N44" s="8"/>
    </row>
    <row r="45" spans="1:14" x14ac:dyDescent="0.4">
      <c r="A45" s="2"/>
      <c r="B45" s="8"/>
      <c r="C45" s="8"/>
      <c r="D45" s="173"/>
      <c r="E45" s="13"/>
      <c r="F45" s="8"/>
      <c r="G45" s="8"/>
      <c r="H45" s="8"/>
      <c r="I45" s="8"/>
      <c r="J45" s="8"/>
      <c r="K45" s="8"/>
      <c r="L45" s="8"/>
      <c r="M45" s="8"/>
      <c r="N45" s="8"/>
    </row>
    <row r="46" spans="1:14" x14ac:dyDescent="0.4">
      <c r="A46" s="24">
        <v>9</v>
      </c>
      <c r="B46" s="376" t="s">
        <v>1085</v>
      </c>
      <c r="C46" s="365"/>
      <c r="D46" s="365"/>
      <c r="E46" s="365"/>
      <c r="F46" s="25"/>
      <c r="G46" s="11"/>
      <c r="H46" s="11"/>
      <c r="I46" s="11"/>
      <c r="J46" s="8"/>
      <c r="K46" s="8"/>
      <c r="L46" s="8"/>
      <c r="M46" s="8"/>
      <c r="N46" s="8"/>
    </row>
    <row r="47" spans="1:14" ht="38.450000000000003" x14ac:dyDescent="0.4">
      <c r="A47" s="24"/>
      <c r="B47" s="26" t="s">
        <v>37</v>
      </c>
      <c r="C47" s="27" t="s">
        <v>38</v>
      </c>
      <c r="D47" s="174" t="s">
        <v>39</v>
      </c>
      <c r="E47" s="27" t="s">
        <v>206</v>
      </c>
      <c r="F47" s="8"/>
      <c r="G47" s="8"/>
      <c r="H47" s="8"/>
      <c r="I47" s="8"/>
      <c r="J47" s="8"/>
      <c r="K47" s="8"/>
      <c r="L47" s="8"/>
      <c r="M47" s="8"/>
      <c r="N47" s="8"/>
    </row>
    <row r="48" spans="1:14" ht="145.80000000000001" x14ac:dyDescent="0.4">
      <c r="A48" s="29"/>
      <c r="B48" s="78" t="s">
        <v>307</v>
      </c>
      <c r="C48" s="78" t="s">
        <v>976</v>
      </c>
      <c r="D48" s="78" t="s">
        <v>976</v>
      </c>
      <c r="E48" s="117" t="s">
        <v>83</v>
      </c>
      <c r="F48" s="8"/>
      <c r="G48" s="8"/>
      <c r="H48" s="8"/>
      <c r="I48" s="8"/>
      <c r="J48" s="8"/>
      <c r="K48" s="8"/>
      <c r="L48" s="8"/>
      <c r="M48" s="8"/>
      <c r="N48" s="8"/>
    </row>
    <row r="49" spans="1:14" x14ac:dyDescent="0.4">
      <c r="A49" s="31"/>
      <c r="B49" s="380" t="s">
        <v>960</v>
      </c>
      <c r="C49" s="381"/>
      <c r="D49" s="381"/>
      <c r="E49" s="382"/>
      <c r="F49" s="15"/>
      <c r="G49" s="15"/>
      <c r="H49" s="15"/>
      <c r="I49" s="8"/>
      <c r="J49" s="8"/>
      <c r="K49" s="8"/>
      <c r="L49" s="8"/>
      <c r="M49" s="8"/>
      <c r="N49" s="8"/>
    </row>
    <row r="50" spans="1:14" x14ac:dyDescent="0.4">
      <c r="A50" s="32"/>
      <c r="B50" s="62"/>
      <c r="C50" s="23"/>
      <c r="D50" s="173"/>
      <c r="E50" s="23"/>
      <c r="F50" s="15"/>
      <c r="G50" s="15"/>
      <c r="H50" s="15"/>
      <c r="I50" s="15"/>
      <c r="J50" s="8"/>
      <c r="K50" s="8"/>
      <c r="L50" s="8"/>
      <c r="M50" s="8"/>
      <c r="N50" s="8"/>
    </row>
    <row r="51" spans="1:14" x14ac:dyDescent="0.4">
      <c r="A51" s="24">
        <v>10</v>
      </c>
      <c r="B51" s="376" t="s">
        <v>1085</v>
      </c>
      <c r="C51" s="365"/>
      <c r="D51" s="365"/>
      <c r="E51" s="365"/>
      <c r="F51" s="15"/>
      <c r="G51" s="15"/>
      <c r="H51" s="15"/>
      <c r="I51" s="8"/>
      <c r="J51" s="8"/>
      <c r="K51" s="8"/>
      <c r="L51" s="8"/>
      <c r="M51" s="8"/>
      <c r="N51" s="8"/>
    </row>
    <row r="52" spans="1:14" x14ac:dyDescent="0.4">
      <c r="A52" s="29"/>
      <c r="B52" s="383" t="s">
        <v>43</v>
      </c>
      <c r="C52" s="385" t="s">
        <v>977</v>
      </c>
      <c r="D52" s="386"/>
      <c r="E52" s="387"/>
      <c r="F52" s="8"/>
      <c r="G52" s="8"/>
      <c r="H52" s="8"/>
      <c r="I52" s="8"/>
      <c r="J52" s="8"/>
      <c r="K52" s="1"/>
      <c r="L52" s="8"/>
      <c r="M52" s="8"/>
      <c r="N52" s="8"/>
    </row>
    <row r="53" spans="1:14" ht="38.25" customHeight="1" x14ac:dyDescent="0.4">
      <c r="A53" s="29"/>
      <c r="B53" s="384"/>
      <c r="C53" s="388"/>
      <c r="D53" s="389"/>
      <c r="E53" s="390"/>
      <c r="F53" s="8"/>
      <c r="G53" s="8"/>
      <c r="H53" s="8"/>
      <c r="I53" s="8"/>
      <c r="J53" s="8"/>
      <c r="K53" s="1"/>
      <c r="L53" s="8"/>
      <c r="M53" s="8"/>
      <c r="N53" s="8"/>
    </row>
    <row r="54" spans="1:14" ht="55.55" customHeight="1" x14ac:dyDescent="0.4">
      <c r="A54" s="24"/>
      <c r="B54" s="33" t="s">
        <v>44</v>
      </c>
      <c r="C54" s="391" t="s">
        <v>1116</v>
      </c>
      <c r="D54" s="391"/>
      <c r="E54" s="391"/>
      <c r="F54" s="8"/>
      <c r="G54" s="8"/>
      <c r="H54" s="8"/>
      <c r="I54" s="8"/>
      <c r="J54" s="8"/>
      <c r="K54" s="8"/>
      <c r="L54" s="8"/>
      <c r="M54" s="8"/>
      <c r="N54" s="8"/>
    </row>
    <row r="55" spans="1:14" x14ac:dyDescent="0.4">
      <c r="A55" s="29"/>
      <c r="B55" s="33" t="s">
        <v>45</v>
      </c>
      <c r="C55" s="471" t="s">
        <v>46</v>
      </c>
      <c r="D55" s="472"/>
      <c r="E55" s="473"/>
      <c r="F55" s="8"/>
      <c r="G55" s="8"/>
      <c r="H55" s="8"/>
      <c r="I55" s="8"/>
      <c r="J55" s="8"/>
      <c r="K55" s="34"/>
      <c r="L55" s="8"/>
      <c r="M55" s="8"/>
      <c r="N55" s="8"/>
    </row>
    <row r="56" spans="1:14" x14ac:dyDescent="0.4">
      <c r="A56" s="29"/>
      <c r="B56" s="480" t="s">
        <v>960</v>
      </c>
      <c r="C56" s="480"/>
      <c r="D56" s="480"/>
      <c r="E56" s="480"/>
      <c r="F56" s="8"/>
      <c r="G56" s="8"/>
      <c r="H56" s="8"/>
      <c r="I56" s="8"/>
      <c r="J56" s="8"/>
      <c r="K56" s="34"/>
      <c r="L56" s="8"/>
      <c r="M56" s="8"/>
      <c r="N56" s="8"/>
    </row>
    <row r="57" spans="1:14" x14ac:dyDescent="0.4">
      <c r="A57" s="35" t="s">
        <v>47</v>
      </c>
      <c r="B57" s="392" t="s">
        <v>48</v>
      </c>
      <c r="C57" s="392"/>
      <c r="D57" s="392"/>
      <c r="E57" s="392"/>
      <c r="F57" s="63"/>
      <c r="G57" s="63"/>
      <c r="H57" s="63"/>
      <c r="I57" s="63"/>
      <c r="J57" s="63"/>
      <c r="K57" s="63"/>
      <c r="L57" s="63"/>
      <c r="M57" s="63"/>
      <c r="N57" s="63"/>
    </row>
    <row r="58" spans="1:14" x14ac:dyDescent="0.4">
      <c r="A58" s="40"/>
      <c r="B58" s="41"/>
      <c r="C58" s="42"/>
      <c r="D58" s="175"/>
      <c r="E58" s="42"/>
      <c r="F58" s="42"/>
      <c r="G58" s="8"/>
      <c r="H58" s="8"/>
      <c r="I58" s="8"/>
      <c r="J58" s="8"/>
      <c r="K58" s="8"/>
      <c r="L58" s="8"/>
      <c r="M58" s="8"/>
      <c r="N58" s="8"/>
    </row>
    <row r="59" spans="1:14" x14ac:dyDescent="0.4">
      <c r="A59" s="9">
        <v>11</v>
      </c>
      <c r="B59" s="3" t="s">
        <v>49</v>
      </c>
      <c r="C59" s="580" t="s">
        <v>851</v>
      </c>
      <c r="D59" s="580"/>
      <c r="E59" s="580"/>
      <c r="F59" s="11"/>
      <c r="G59" s="11"/>
      <c r="H59" s="43"/>
      <c r="I59" s="11"/>
      <c r="J59" s="11"/>
      <c r="K59" s="8"/>
      <c r="L59" s="8"/>
      <c r="M59" s="8"/>
      <c r="N59" s="8"/>
    </row>
    <row r="60" spans="1:14" x14ac:dyDescent="0.4">
      <c r="A60" s="9"/>
      <c r="B60" s="15"/>
      <c r="C60" s="15"/>
      <c r="D60" s="170"/>
      <c r="E60" s="15"/>
      <c r="F60" s="15"/>
      <c r="G60" s="15"/>
      <c r="H60" s="44"/>
      <c r="I60" s="44"/>
      <c r="J60" s="15"/>
      <c r="K60" s="8"/>
      <c r="L60" s="8"/>
      <c r="M60" s="8"/>
      <c r="N60" s="8"/>
    </row>
    <row r="61" spans="1:14" x14ac:dyDescent="0.4">
      <c r="A61" s="9">
        <v>12</v>
      </c>
      <c r="B61" s="11" t="s">
        <v>51</v>
      </c>
      <c r="C61" s="11"/>
      <c r="D61" s="176"/>
      <c r="E61" s="43"/>
      <c r="F61" s="43"/>
      <c r="G61" s="11"/>
      <c r="H61" s="43"/>
      <c r="I61" s="11"/>
      <c r="J61" s="11"/>
      <c r="K61" s="11"/>
      <c r="L61" s="11"/>
      <c r="M61" s="11"/>
      <c r="N61" s="11"/>
    </row>
    <row r="62" spans="1:14" x14ac:dyDescent="0.4">
      <c r="A62" s="9"/>
      <c r="B62" s="11"/>
      <c r="C62" s="11"/>
      <c r="D62" s="176"/>
      <c r="E62" s="43"/>
      <c r="F62" s="43"/>
      <c r="G62" s="43"/>
      <c r="H62" s="43"/>
      <c r="I62" s="11"/>
      <c r="J62" s="11"/>
      <c r="K62" s="11"/>
      <c r="L62" s="11"/>
      <c r="M62" s="11"/>
      <c r="N62" s="11"/>
    </row>
    <row r="63" spans="1:14" x14ac:dyDescent="0.4">
      <c r="A63" s="9"/>
      <c r="B63" s="17" t="s">
        <v>52</v>
      </c>
      <c r="C63" s="446" t="s">
        <v>957</v>
      </c>
      <c r="D63" s="446"/>
      <c r="E63" s="446"/>
      <c r="F63" s="44"/>
      <c r="G63" s="44"/>
      <c r="H63" s="15"/>
      <c r="I63" s="15"/>
      <c r="J63" s="15"/>
      <c r="K63" s="15"/>
      <c r="L63" s="15"/>
      <c r="M63" s="15"/>
      <c r="N63" s="15"/>
    </row>
    <row r="64" spans="1:14" x14ac:dyDescent="0.4">
      <c r="A64" s="9"/>
      <c r="B64" s="15"/>
      <c r="C64" s="15"/>
      <c r="D64" s="236"/>
      <c r="E64" s="118"/>
      <c r="F64" s="15"/>
      <c r="G64" s="15"/>
      <c r="H64" s="15"/>
      <c r="I64" s="15"/>
      <c r="J64" s="15"/>
      <c r="K64" s="15"/>
      <c r="L64" s="15"/>
      <c r="M64" s="15"/>
      <c r="N64" s="15"/>
    </row>
    <row r="65" spans="1:14" x14ac:dyDescent="0.4">
      <c r="A65" s="9"/>
      <c r="B65" s="365" t="s">
        <v>53</v>
      </c>
      <c r="C65" s="366" t="s">
        <v>959</v>
      </c>
      <c r="D65" s="558" t="s">
        <v>271</v>
      </c>
      <c r="E65" s="403" t="s">
        <v>232</v>
      </c>
      <c r="F65" s="395" t="s">
        <v>626</v>
      </c>
      <c r="G65" s="396"/>
      <c r="H65" s="397"/>
      <c r="I65" s="398" t="s">
        <v>55</v>
      </c>
      <c r="J65" s="398"/>
      <c r="K65" s="398"/>
      <c r="L65" s="398" t="s">
        <v>56</v>
      </c>
      <c r="M65" s="398"/>
      <c r="N65" s="398"/>
    </row>
    <row r="66" spans="1:14" ht="38.450000000000003" x14ac:dyDescent="0.4">
      <c r="A66" s="2"/>
      <c r="B66" s="365"/>
      <c r="C66" s="402"/>
      <c r="D66" s="559"/>
      <c r="E66" s="404"/>
      <c r="F66" s="17" t="s">
        <v>57</v>
      </c>
      <c r="G66" s="17" t="s">
        <v>58</v>
      </c>
      <c r="H66" s="17" t="s">
        <v>59</v>
      </c>
      <c r="I66" s="17" t="s">
        <v>60</v>
      </c>
      <c r="J66" s="17" t="s">
        <v>58</v>
      </c>
      <c r="K66" s="17" t="s">
        <v>59</v>
      </c>
      <c r="L66" s="17" t="s">
        <v>60</v>
      </c>
      <c r="M66" s="17" t="s">
        <v>58</v>
      </c>
      <c r="N66" s="17" t="s">
        <v>59</v>
      </c>
    </row>
    <row r="67" spans="1:14" x14ac:dyDescent="0.4">
      <c r="A67" s="2"/>
      <c r="B67" s="17" t="s">
        <v>103</v>
      </c>
      <c r="C67" s="284">
        <v>78.75</v>
      </c>
      <c r="D67" s="101">
        <v>82.9</v>
      </c>
      <c r="E67" s="101">
        <v>56.15</v>
      </c>
      <c r="F67" s="98">
        <v>135.19999999999999</v>
      </c>
      <c r="G67" s="101">
        <v>187</v>
      </c>
      <c r="H67" s="101">
        <v>53.05</v>
      </c>
      <c r="I67" s="45" t="s">
        <v>41</v>
      </c>
      <c r="J67" s="45" t="s">
        <v>41</v>
      </c>
      <c r="K67" s="45" t="s">
        <v>41</v>
      </c>
      <c r="L67" s="45" t="s">
        <v>41</v>
      </c>
      <c r="M67" s="45" t="s">
        <v>41</v>
      </c>
      <c r="N67" s="45" t="s">
        <v>41</v>
      </c>
    </row>
    <row r="68" spans="1:14" ht="25.65" x14ac:dyDescent="0.4">
      <c r="A68" s="2"/>
      <c r="B68" s="17" t="s">
        <v>627</v>
      </c>
      <c r="C68" s="101">
        <v>17807.650000000001</v>
      </c>
      <c r="D68" s="101">
        <v>16682.650000000001</v>
      </c>
      <c r="E68" s="101">
        <v>15835.35</v>
      </c>
      <c r="F68" s="101">
        <v>17359.75</v>
      </c>
      <c r="G68" s="101">
        <v>18887.599999999999</v>
      </c>
      <c r="H68" s="101">
        <v>15183.4</v>
      </c>
      <c r="I68" s="45" t="s">
        <v>41</v>
      </c>
      <c r="J68" s="45" t="s">
        <v>41</v>
      </c>
      <c r="K68" s="45" t="s">
        <v>41</v>
      </c>
      <c r="L68" s="45" t="s">
        <v>41</v>
      </c>
      <c r="M68" s="45" t="s">
        <v>41</v>
      </c>
      <c r="N68" s="45" t="s">
        <v>41</v>
      </c>
    </row>
    <row r="69" spans="1:14" x14ac:dyDescent="0.4">
      <c r="A69" s="2"/>
      <c r="B69" s="17" t="s">
        <v>1087</v>
      </c>
      <c r="C69" s="546" t="s">
        <v>83</v>
      </c>
      <c r="D69" s="546"/>
      <c r="E69" s="546"/>
      <c r="F69" s="546"/>
      <c r="G69" s="546"/>
      <c r="H69" s="546"/>
      <c r="I69" s="546"/>
      <c r="J69" s="546"/>
      <c r="K69" s="546"/>
      <c r="L69" s="546"/>
      <c r="M69" s="546"/>
      <c r="N69" s="546"/>
    </row>
    <row r="70" spans="1:14" s="8" customFormat="1" ht="13.25" x14ac:dyDescent="0.4">
      <c r="A70" s="2"/>
      <c r="B70" s="399" t="s">
        <v>1097</v>
      </c>
      <c r="C70" s="399"/>
      <c r="D70" s="399"/>
      <c r="E70" s="399"/>
      <c r="F70" s="399"/>
      <c r="G70" s="399"/>
      <c r="H70" s="399"/>
      <c r="I70" s="399"/>
      <c r="J70" s="399"/>
      <c r="K70" s="399"/>
      <c r="L70" s="399"/>
      <c r="M70" s="399"/>
      <c r="N70" s="399"/>
    </row>
    <row r="71" spans="1:14" x14ac:dyDescent="0.4">
      <c r="A71" s="2"/>
      <c r="B71" s="545" t="s">
        <v>94</v>
      </c>
      <c r="C71" s="545"/>
      <c r="D71" s="545"/>
      <c r="E71" s="545"/>
      <c r="F71" s="545"/>
      <c r="G71" s="545"/>
      <c r="H71" s="545"/>
      <c r="I71" s="545"/>
      <c r="J71" s="545"/>
      <c r="K71" s="545"/>
      <c r="L71" s="545"/>
      <c r="M71" s="545"/>
      <c r="N71" s="545"/>
    </row>
    <row r="72" spans="1:14" x14ac:dyDescent="0.4">
      <c r="A72" s="2"/>
      <c r="B72" s="480" t="s">
        <v>63</v>
      </c>
      <c r="C72" s="480"/>
      <c r="D72" s="480"/>
      <c r="E72" s="480"/>
      <c r="F72" s="480"/>
      <c r="G72" s="480"/>
      <c r="H72" s="480"/>
      <c r="I72" s="480"/>
      <c r="J72" s="480"/>
      <c r="K72" s="480"/>
      <c r="L72" s="480"/>
      <c r="M72" s="480"/>
      <c r="N72" s="480"/>
    </row>
    <row r="73" spans="1:14" x14ac:dyDescent="0.4">
      <c r="A73" s="1"/>
      <c r="B73" s="474" t="s">
        <v>64</v>
      </c>
      <c r="C73" s="474"/>
      <c r="D73" s="474"/>
      <c r="E73" s="474"/>
      <c r="F73" s="474"/>
      <c r="G73" s="474"/>
      <c r="H73" s="474"/>
      <c r="I73" s="474"/>
      <c r="J73" s="474"/>
      <c r="K73" s="474"/>
      <c r="L73" s="474"/>
      <c r="M73" s="474"/>
      <c r="N73" s="474"/>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177"/>
      <c r="E76" s="49"/>
      <c r="F76" s="49"/>
      <c r="G76" s="13"/>
      <c r="H76" s="13"/>
      <c r="I76" s="13"/>
      <c r="J76" s="13"/>
      <c r="K76" s="13"/>
      <c r="L76" s="13" t="s">
        <v>693</v>
      </c>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B78" s="8"/>
      <c r="C78" s="15"/>
      <c r="D78" s="170"/>
      <c r="E78" s="15"/>
      <c r="F78" s="15"/>
      <c r="G78" s="15"/>
      <c r="H78" s="15"/>
      <c r="I78" s="15"/>
      <c r="J78" s="15"/>
      <c r="K78" s="15"/>
      <c r="L78" s="15"/>
      <c r="M78" s="15"/>
      <c r="N78" s="15"/>
    </row>
    <row r="79" spans="1:14" ht="25.65" x14ac:dyDescent="0.4">
      <c r="A79" s="2"/>
      <c r="B79" s="50" t="s">
        <v>67</v>
      </c>
      <c r="C79" s="18" t="s">
        <v>68</v>
      </c>
      <c r="D79" s="171" t="s">
        <v>1127</v>
      </c>
      <c r="E79" s="18" t="s">
        <v>218</v>
      </c>
      <c r="F79" s="18" t="s">
        <v>71</v>
      </c>
      <c r="G79" s="18" t="s">
        <v>107</v>
      </c>
      <c r="H79" s="13"/>
      <c r="I79" s="13"/>
      <c r="J79" s="13"/>
      <c r="K79" s="13"/>
      <c r="L79" s="13"/>
      <c r="M79" s="13"/>
      <c r="N79" s="13"/>
    </row>
    <row r="80" spans="1:14" ht="25.55" customHeight="1" x14ac:dyDescent="0.4">
      <c r="A80" s="2"/>
      <c r="B80" s="411" t="s">
        <v>72</v>
      </c>
      <c r="C80" s="3" t="s">
        <v>961</v>
      </c>
      <c r="D80" s="101">
        <v>2.31</v>
      </c>
      <c r="E80" s="20">
        <v>4.63</v>
      </c>
      <c r="F80" s="435" t="s">
        <v>326</v>
      </c>
      <c r="G80" s="435" t="s">
        <v>220</v>
      </c>
      <c r="H80" s="53"/>
      <c r="I80" s="53"/>
      <c r="J80" s="53"/>
      <c r="K80" s="53"/>
      <c r="L80" s="53"/>
      <c r="M80" s="53"/>
      <c r="N80" s="53"/>
    </row>
    <row r="81" spans="1:14" x14ac:dyDescent="0.4">
      <c r="A81" s="2"/>
      <c r="B81" s="533"/>
      <c r="C81" s="3" t="s">
        <v>109</v>
      </c>
      <c r="D81" s="101"/>
      <c r="E81" s="20"/>
      <c r="F81" s="436"/>
      <c r="G81" s="436"/>
      <c r="H81" s="53"/>
      <c r="I81" s="53"/>
      <c r="J81" s="53"/>
      <c r="K81" s="53"/>
      <c r="L81" s="53"/>
      <c r="M81" s="53"/>
      <c r="N81" s="53"/>
    </row>
    <row r="82" spans="1:14" ht="13.5" customHeight="1" x14ac:dyDescent="0.4">
      <c r="A82" s="2"/>
      <c r="B82" s="534"/>
      <c r="C82" s="3" t="s">
        <v>74</v>
      </c>
      <c r="D82" s="101"/>
      <c r="E82" s="20"/>
      <c r="F82" s="436"/>
      <c r="G82" s="436"/>
      <c r="H82" s="53"/>
      <c r="I82" s="53"/>
      <c r="J82" s="53"/>
      <c r="K82" s="53"/>
      <c r="L82" s="53"/>
      <c r="M82" s="53"/>
      <c r="N82" s="53"/>
    </row>
    <row r="83" spans="1:14" ht="38.25" hidden="1" customHeight="1" x14ac:dyDescent="0.4">
      <c r="A83" s="2"/>
      <c r="B83" s="203"/>
      <c r="C83" s="3" t="s">
        <v>961</v>
      </c>
      <c r="D83" s="101">
        <v>5.27</v>
      </c>
      <c r="E83" s="20"/>
      <c r="F83" s="436"/>
      <c r="G83" s="436"/>
      <c r="H83" s="53"/>
      <c r="I83" s="53"/>
      <c r="J83" s="53"/>
      <c r="K83" s="53"/>
      <c r="L83" s="53"/>
      <c r="M83" s="53"/>
      <c r="N83" s="53"/>
    </row>
    <row r="84" spans="1:14" ht="15.05" hidden="1" customHeight="1" x14ac:dyDescent="0.4">
      <c r="A84" s="2"/>
      <c r="B84" s="203"/>
      <c r="C84" s="3" t="s">
        <v>73</v>
      </c>
      <c r="D84" s="101"/>
      <c r="E84" s="20"/>
      <c r="F84" s="436"/>
      <c r="G84" s="436"/>
      <c r="H84" s="53"/>
      <c r="I84" s="53"/>
      <c r="J84" s="53"/>
      <c r="K84" s="53"/>
      <c r="L84" s="53"/>
      <c r="M84" s="53"/>
      <c r="N84" s="53"/>
    </row>
    <row r="85" spans="1:14" ht="27.05" hidden="1" customHeight="1" thickBot="1" x14ac:dyDescent="0.45">
      <c r="A85" s="2"/>
      <c r="B85" s="203"/>
      <c r="C85" s="202" t="s">
        <v>951</v>
      </c>
      <c r="D85" s="101">
        <v>38.01</v>
      </c>
      <c r="E85" s="20"/>
      <c r="F85" s="436"/>
      <c r="G85" s="436"/>
      <c r="H85" s="53"/>
      <c r="I85" s="53"/>
      <c r="J85" s="53"/>
      <c r="K85" s="53"/>
      <c r="L85" s="53"/>
      <c r="M85" s="53"/>
      <c r="N85" s="53"/>
    </row>
    <row r="86" spans="1:14" ht="39.75" x14ac:dyDescent="0.4">
      <c r="A86" s="2"/>
      <c r="B86" s="411" t="s">
        <v>75</v>
      </c>
      <c r="C86" s="3" t="s">
        <v>961</v>
      </c>
      <c r="D86" s="101">
        <v>0.16880000000000001</v>
      </c>
      <c r="E86" s="101">
        <f>F67/E80</f>
        <v>29.200863930885529</v>
      </c>
      <c r="F86" s="436"/>
      <c r="G86" s="436"/>
      <c r="H86" s="53"/>
      <c r="I86" s="53"/>
      <c r="J86" s="53"/>
      <c r="K86" s="53"/>
      <c r="L86" s="53"/>
      <c r="M86" s="53"/>
      <c r="N86" s="53"/>
    </row>
    <row r="87" spans="1:14" x14ac:dyDescent="0.4">
      <c r="A87" s="2"/>
      <c r="B87" s="533"/>
      <c r="C87" s="3" t="s">
        <v>109</v>
      </c>
      <c r="D87" s="101"/>
      <c r="E87" s="20"/>
      <c r="F87" s="436"/>
      <c r="G87" s="436"/>
      <c r="H87" s="53"/>
      <c r="I87" s="53"/>
      <c r="J87" s="53"/>
      <c r="K87" s="53"/>
      <c r="L87" s="53"/>
      <c r="M87" s="53"/>
      <c r="N87" s="53"/>
    </row>
    <row r="88" spans="1:14" x14ac:dyDescent="0.4">
      <c r="A88" s="2"/>
      <c r="B88" s="534"/>
      <c r="C88" s="3" t="s">
        <v>74</v>
      </c>
      <c r="D88" s="101"/>
      <c r="E88" s="20"/>
      <c r="F88" s="436"/>
      <c r="G88" s="436"/>
      <c r="H88" s="53"/>
      <c r="I88" s="53"/>
      <c r="J88" s="53"/>
      <c r="K88" s="53"/>
      <c r="L88" s="53"/>
      <c r="M88" s="53"/>
      <c r="N88" s="53"/>
    </row>
    <row r="89" spans="1:14" ht="39.75" x14ac:dyDescent="0.4">
      <c r="A89" s="2"/>
      <c r="B89" s="411" t="s">
        <v>76</v>
      </c>
      <c r="C89" s="3" t="s">
        <v>961</v>
      </c>
      <c r="D89" s="101">
        <v>10.74</v>
      </c>
      <c r="E89" s="101">
        <f>(529.59/4086.68)*100</f>
        <v>12.958929987177859</v>
      </c>
      <c r="F89" s="436"/>
      <c r="G89" s="436"/>
      <c r="H89" s="53"/>
      <c r="I89" s="53"/>
      <c r="J89" s="53"/>
      <c r="K89" s="53"/>
      <c r="L89" s="53"/>
      <c r="M89" s="53"/>
      <c r="N89" s="53"/>
    </row>
    <row r="90" spans="1:14" x14ac:dyDescent="0.4">
      <c r="A90" s="2"/>
      <c r="B90" s="533"/>
      <c r="C90" s="3" t="s">
        <v>109</v>
      </c>
      <c r="D90" s="101"/>
      <c r="E90" s="20"/>
      <c r="F90" s="436"/>
      <c r="G90" s="436"/>
      <c r="H90" s="53"/>
      <c r="I90" s="53"/>
      <c r="J90" s="53"/>
      <c r="K90" s="53"/>
      <c r="L90" s="53"/>
      <c r="M90" s="53"/>
      <c r="N90" s="53"/>
    </row>
    <row r="91" spans="1:14" x14ac:dyDescent="0.4">
      <c r="A91" s="2"/>
      <c r="B91" s="534"/>
      <c r="C91" s="3" t="s">
        <v>74</v>
      </c>
      <c r="D91" s="101"/>
      <c r="E91" s="20"/>
      <c r="F91" s="436"/>
      <c r="G91" s="436"/>
      <c r="H91" s="53"/>
      <c r="I91" s="53"/>
      <c r="J91" s="53"/>
      <c r="K91" s="53"/>
      <c r="L91" s="53"/>
      <c r="M91" s="53"/>
      <c r="N91" s="53"/>
    </row>
    <row r="92" spans="1:14" ht="39.75" x14ac:dyDescent="0.4">
      <c r="A92" s="2"/>
      <c r="B92" s="203" t="s">
        <v>77</v>
      </c>
      <c r="C92" s="3" t="s">
        <v>961</v>
      </c>
      <c r="D92" s="101">
        <v>21.46</v>
      </c>
      <c r="E92" s="101">
        <f>4086.68/114.48</f>
        <v>35.697763801537384</v>
      </c>
      <c r="F92" s="436"/>
      <c r="G92" s="436"/>
      <c r="H92" s="53"/>
      <c r="I92" s="53" t="s">
        <v>693</v>
      </c>
      <c r="J92" s="53"/>
      <c r="K92" s="53"/>
      <c r="L92" s="53"/>
      <c r="M92" s="53"/>
      <c r="N92" s="53"/>
    </row>
    <row r="93" spans="1:14" x14ac:dyDescent="0.4">
      <c r="A93" s="2"/>
      <c r="B93" s="203"/>
      <c r="C93" s="3" t="s">
        <v>109</v>
      </c>
      <c r="D93" s="101"/>
      <c r="E93" s="66"/>
      <c r="F93" s="436"/>
      <c r="G93" s="436"/>
      <c r="H93" s="53"/>
      <c r="I93" s="53"/>
      <c r="J93" s="53"/>
      <c r="K93" s="53"/>
      <c r="L93" s="53"/>
      <c r="M93" s="53"/>
      <c r="N93" s="53"/>
    </row>
    <row r="94" spans="1:14" x14ac:dyDescent="0.4">
      <c r="A94" s="2"/>
      <c r="B94" s="206"/>
      <c r="C94" s="3" t="s">
        <v>74</v>
      </c>
      <c r="D94" s="101"/>
      <c r="E94" s="66"/>
      <c r="F94" s="588"/>
      <c r="G94" s="588"/>
      <c r="H94" s="178"/>
      <c r="I94" s="53"/>
      <c r="J94" s="53"/>
      <c r="K94" s="53"/>
      <c r="L94" s="53"/>
      <c r="M94" s="53"/>
      <c r="N94" s="53"/>
    </row>
    <row r="95" spans="1:14" ht="24" customHeight="1" x14ac:dyDescent="0.4">
      <c r="A95" s="2"/>
      <c r="B95" s="589" t="s">
        <v>989</v>
      </c>
      <c r="C95" s="590"/>
      <c r="D95" s="590"/>
      <c r="E95" s="590"/>
      <c r="F95" s="590"/>
      <c r="G95" s="591"/>
      <c r="H95" s="53"/>
      <c r="I95" s="53"/>
      <c r="J95" s="53"/>
      <c r="K95" s="53"/>
      <c r="L95" s="53"/>
      <c r="M95" s="53"/>
      <c r="N95" s="53"/>
    </row>
    <row r="96" spans="1:14" x14ac:dyDescent="0.4">
      <c r="A96" s="2">
        <v>14</v>
      </c>
      <c r="B96" s="212" t="s">
        <v>78</v>
      </c>
      <c r="C96" s="62" t="s">
        <v>41</v>
      </c>
      <c r="D96" s="62"/>
      <c r="E96" s="213"/>
      <c r="F96" s="213"/>
      <c r="G96" s="214"/>
      <c r="H96" s="53"/>
      <c r="I96" s="53"/>
      <c r="J96" s="53"/>
      <c r="K96" s="53"/>
      <c r="L96" s="53"/>
      <c r="M96" s="53"/>
      <c r="N96" s="53"/>
    </row>
    <row r="97" spans="1:14" x14ac:dyDescent="0.4">
      <c r="A97" s="2"/>
      <c r="B97" s="8"/>
      <c r="C97" s="8"/>
      <c r="D97" s="208"/>
      <c r="E97" s="209"/>
      <c r="F97" s="209"/>
      <c r="G97" s="209"/>
      <c r="H97" s="53"/>
      <c r="I97" s="53"/>
      <c r="J97" s="53"/>
      <c r="K97" s="53"/>
      <c r="L97" s="53"/>
      <c r="M97" s="53"/>
      <c r="N97" s="53"/>
    </row>
    <row r="98" spans="1:14" x14ac:dyDescent="0.4">
      <c r="A98" s="2"/>
      <c r="B98" s="538" t="s">
        <v>958</v>
      </c>
      <c r="C98" s="538"/>
      <c r="D98" s="538"/>
      <c r="E98" s="538"/>
      <c r="F98" s="538"/>
      <c r="G98" s="538"/>
      <c r="H98" s="53"/>
      <c r="I98" s="53"/>
      <c r="J98" s="53"/>
      <c r="K98" s="53"/>
      <c r="L98" s="53"/>
      <c r="M98" s="53"/>
      <c r="N98" s="53"/>
    </row>
    <row r="99" spans="1:14" x14ac:dyDescent="0.4">
      <c r="A99" s="2"/>
      <c r="B99" s="8"/>
      <c r="C99" s="8"/>
      <c r="D99" s="208"/>
      <c r="E99" s="209"/>
      <c r="F99" s="209"/>
      <c r="G99" s="209"/>
      <c r="H99" s="53"/>
      <c r="I99" s="53"/>
      <c r="J99" s="53"/>
      <c r="K99" s="53"/>
      <c r="L99" s="53"/>
      <c r="M99" s="53"/>
      <c r="N99" s="53"/>
    </row>
    <row r="100" spans="1:14" x14ac:dyDescent="0.4">
      <c r="A100" s="2"/>
      <c r="H100" s="179"/>
      <c r="I100" s="53" t="s">
        <v>693</v>
      </c>
      <c r="J100" s="53"/>
      <c r="K100" s="53"/>
      <c r="L100" s="53"/>
      <c r="M100" s="53"/>
      <c r="N100" s="53"/>
    </row>
    <row r="101" spans="1:14" x14ac:dyDescent="0.4">
      <c r="A101" s="2"/>
      <c r="B101" s="8"/>
      <c r="C101" s="228"/>
      <c r="D101" s="228"/>
      <c r="E101" s="209"/>
      <c r="F101" s="209"/>
      <c r="G101" s="209"/>
      <c r="H101" s="53"/>
      <c r="I101" s="53"/>
      <c r="J101" s="53"/>
      <c r="K101" s="53"/>
      <c r="L101" s="53"/>
      <c r="M101" s="53"/>
      <c r="N101" s="53"/>
    </row>
    <row r="102" spans="1:14" x14ac:dyDescent="0.4">
      <c r="A102" s="2"/>
      <c r="C102" s="238"/>
      <c r="E102" s="209"/>
      <c r="F102" s="209"/>
      <c r="G102" s="209"/>
      <c r="H102" s="53"/>
      <c r="I102" s="53"/>
      <c r="J102" s="53"/>
      <c r="K102" s="53"/>
      <c r="L102" s="53"/>
      <c r="M102" s="53"/>
      <c r="N102" s="53"/>
    </row>
    <row r="103" spans="1:14" x14ac:dyDescent="0.4">
      <c r="A103" s="2"/>
      <c r="B103" s="587"/>
      <c r="C103" s="587"/>
      <c r="D103" s="587"/>
      <c r="E103" s="587"/>
      <c r="F103" s="587"/>
      <c r="G103" s="587"/>
      <c r="H103" s="53"/>
      <c r="I103" s="53"/>
      <c r="J103" s="53"/>
      <c r="K103" s="53"/>
      <c r="L103" s="53"/>
      <c r="M103" s="53"/>
      <c r="N103" s="53"/>
    </row>
    <row r="104" spans="1:14" x14ac:dyDescent="0.4">
      <c r="A104" s="2"/>
      <c r="C104" s="228"/>
      <c r="E104" s="209"/>
      <c r="F104" s="209"/>
      <c r="G104" s="209"/>
      <c r="H104" s="53"/>
      <c r="I104" s="53"/>
      <c r="J104" s="53"/>
      <c r="K104" s="53"/>
      <c r="L104" s="53"/>
      <c r="M104" s="53"/>
      <c r="N104" s="53"/>
    </row>
    <row r="105" spans="1:14" x14ac:dyDescent="0.4">
      <c r="A105" s="2"/>
      <c r="E105" s="209"/>
      <c r="F105" s="209"/>
      <c r="G105" s="209"/>
      <c r="H105" s="53"/>
      <c r="I105" s="53"/>
      <c r="J105" s="53"/>
      <c r="K105" s="53" t="s">
        <v>693</v>
      </c>
      <c r="L105" s="53"/>
      <c r="M105" s="53"/>
      <c r="N105" s="53"/>
    </row>
    <row r="106" spans="1:14" x14ac:dyDescent="0.4">
      <c r="A106" s="2"/>
      <c r="E106" s="209"/>
      <c r="F106" s="209"/>
      <c r="G106" s="209"/>
      <c r="H106" s="53"/>
      <c r="I106" s="53"/>
      <c r="J106" s="53"/>
      <c r="K106" s="53"/>
      <c r="L106" s="53"/>
      <c r="M106" s="53"/>
      <c r="N106" s="53"/>
    </row>
    <row r="107" spans="1:14" x14ac:dyDescent="0.4">
      <c r="A107" s="1"/>
      <c r="E107" s="210"/>
      <c r="F107" s="210"/>
      <c r="G107" s="210"/>
      <c r="H107" s="1"/>
      <c r="I107" s="1"/>
      <c r="J107" s="1"/>
      <c r="K107" s="1"/>
      <c r="L107" s="1"/>
      <c r="M107" s="1"/>
      <c r="N107" s="1"/>
    </row>
    <row r="108" spans="1:14" ht="15.05" customHeight="1" x14ac:dyDescent="0.4">
      <c r="A108" s="2"/>
      <c r="E108" s="205"/>
      <c r="F108" s="205"/>
      <c r="G108" s="205"/>
      <c r="H108" s="53"/>
      <c r="I108" s="53"/>
      <c r="J108" s="53"/>
      <c r="K108" s="53"/>
      <c r="L108" s="53"/>
      <c r="M108" s="53"/>
      <c r="N108" s="53"/>
    </row>
    <row r="109" spans="1:14" ht="15.05" customHeight="1" x14ac:dyDescent="0.4">
      <c r="A109" s="2"/>
      <c r="E109" s="204"/>
      <c r="F109" s="204"/>
      <c r="G109" s="204"/>
      <c r="H109" s="53"/>
      <c r="I109" s="53"/>
      <c r="J109" s="53"/>
      <c r="K109" s="53"/>
      <c r="L109" s="53"/>
      <c r="M109" s="53"/>
      <c r="N109" s="53"/>
    </row>
    <row r="110" spans="1:14" x14ac:dyDescent="0.4">
      <c r="A110" s="2"/>
      <c r="E110" s="211"/>
      <c r="F110" s="211"/>
      <c r="G110" s="211"/>
      <c r="H110" s="53"/>
      <c r="I110" s="53"/>
      <c r="J110" s="53"/>
      <c r="K110" s="53"/>
      <c r="L110" s="53"/>
      <c r="M110" s="53"/>
      <c r="N110" s="53"/>
    </row>
    <row r="111" spans="1:14" x14ac:dyDescent="0.4">
      <c r="A111" s="8"/>
      <c r="E111" s="23"/>
      <c r="F111" s="23"/>
      <c r="G111" s="23"/>
      <c r="H111" s="53"/>
      <c r="I111" s="53"/>
      <c r="J111" s="8"/>
      <c r="K111" s="8"/>
      <c r="L111" s="8"/>
      <c r="M111" s="8"/>
      <c r="N111" s="8"/>
    </row>
    <row r="112" spans="1:14" x14ac:dyDescent="0.4">
      <c r="A112" s="9"/>
      <c r="E112" s="10"/>
      <c r="F112" s="10"/>
      <c r="G112" s="10"/>
      <c r="H112" s="8"/>
      <c r="I112" s="8"/>
      <c r="J112" s="8"/>
      <c r="K112" s="8"/>
      <c r="L112" s="8"/>
      <c r="M112" s="8"/>
      <c r="N112" s="8"/>
    </row>
    <row r="113" spans="1:14" x14ac:dyDescent="0.4">
      <c r="A113" s="23"/>
      <c r="E113" s="8"/>
      <c r="F113" s="8"/>
      <c r="G113" s="8"/>
      <c r="H113" s="8"/>
      <c r="I113" s="8"/>
      <c r="J113" s="8"/>
      <c r="K113" s="8"/>
      <c r="L113" s="8"/>
      <c r="M113" s="8"/>
      <c r="N113" s="8"/>
    </row>
    <row r="114" spans="1:14" x14ac:dyDescent="0.4">
      <c r="A114" s="8"/>
      <c r="E114" s="8"/>
      <c r="F114" s="8"/>
      <c r="G114" s="8"/>
      <c r="H114" s="8"/>
      <c r="I114" s="8"/>
      <c r="J114" s="8"/>
      <c r="K114" s="8"/>
      <c r="L114" s="8"/>
      <c r="M114" s="8"/>
      <c r="N114" s="8"/>
    </row>
    <row r="115" spans="1:14" x14ac:dyDescent="0.4">
      <c r="A115" s="8"/>
      <c r="E115" s="8"/>
      <c r="F115" s="8"/>
      <c r="G115" s="8"/>
      <c r="H115" s="8"/>
      <c r="I115" s="8"/>
      <c r="J115" s="8"/>
      <c r="K115" s="8"/>
      <c r="L115" s="8"/>
      <c r="M115" s="8"/>
      <c r="N115" s="8"/>
    </row>
    <row r="116" spans="1:14" ht="15.05" customHeight="1" x14ac:dyDescent="0.4">
      <c r="A116" s="8"/>
      <c r="E116" s="23"/>
      <c r="F116" s="23"/>
      <c r="G116" s="23"/>
      <c r="H116" s="23"/>
      <c r="I116" s="8"/>
      <c r="J116" s="8"/>
      <c r="K116" s="8"/>
      <c r="L116" s="8"/>
      <c r="M116" s="8"/>
      <c r="N116" s="8"/>
    </row>
  </sheetData>
  <sheetProtection algorithmName="SHA-512" hashValue="iKDBrPGxuqcz8OkWxUod5T7bqXD6rLQlvVb3xjTKDAVXVaf8mcKE0RoCeZvCz0LIuUGOuLel1PnEWll1KTs7mg==" saltValue="rJYklyB8x23Xo5cu5ihMRA==" spinCount="100000" sheet="1" objects="1" scenarios="1"/>
  <mergeCells count="64">
    <mergeCell ref="B17:E17"/>
    <mergeCell ref="C18:E18"/>
    <mergeCell ref="C19:E19"/>
    <mergeCell ref="C20:E20"/>
    <mergeCell ref="C21:E21"/>
    <mergeCell ref="C11:E11"/>
    <mergeCell ref="A1:B1"/>
    <mergeCell ref="C5:E5"/>
    <mergeCell ref="C3:E3"/>
    <mergeCell ref="C8:E8"/>
    <mergeCell ref="B9:E9"/>
    <mergeCell ref="B6:E6"/>
    <mergeCell ref="C22:E22"/>
    <mergeCell ref="B25:E25"/>
    <mergeCell ref="B26:E26"/>
    <mergeCell ref="B32:E32"/>
    <mergeCell ref="B34:E34"/>
    <mergeCell ref="D28:D31"/>
    <mergeCell ref="E28:E31"/>
    <mergeCell ref="B40:E40"/>
    <mergeCell ref="C41:E41"/>
    <mergeCell ref="C37:E37"/>
    <mergeCell ref="B52:B53"/>
    <mergeCell ref="C52:E53"/>
    <mergeCell ref="B44:E44"/>
    <mergeCell ref="B46:E46"/>
    <mergeCell ref="B49:E49"/>
    <mergeCell ref="B51:E51"/>
    <mergeCell ref="C42:E42"/>
    <mergeCell ref="C43:E43"/>
    <mergeCell ref="C54:E54"/>
    <mergeCell ref="C55:E55"/>
    <mergeCell ref="B56:E56"/>
    <mergeCell ref="B57:E57"/>
    <mergeCell ref="C59:E59"/>
    <mergeCell ref="B74:N74"/>
    <mergeCell ref="B75:N75"/>
    <mergeCell ref="B77:G77"/>
    <mergeCell ref="F65:H65"/>
    <mergeCell ref="I65:K65"/>
    <mergeCell ref="L65:N65"/>
    <mergeCell ref="B71:N71"/>
    <mergeCell ref="B72:N72"/>
    <mergeCell ref="B73:N73"/>
    <mergeCell ref="B65:B66"/>
    <mergeCell ref="C65:C66"/>
    <mergeCell ref="D65:D66"/>
    <mergeCell ref="E65:E66"/>
    <mergeCell ref="C63:E63"/>
    <mergeCell ref="B103:G103"/>
    <mergeCell ref="B12:E12"/>
    <mergeCell ref="C14:E14"/>
    <mergeCell ref="B15:E15"/>
    <mergeCell ref="C35:E35"/>
    <mergeCell ref="C36:E36"/>
    <mergeCell ref="C69:N69"/>
    <mergeCell ref="B70:N70"/>
    <mergeCell ref="B98:G98"/>
    <mergeCell ref="F80:F94"/>
    <mergeCell ref="G80:G94"/>
    <mergeCell ref="B95:G95"/>
    <mergeCell ref="B80:B82"/>
    <mergeCell ref="B86:B88"/>
    <mergeCell ref="B89:B91"/>
  </mergeCells>
  <pageMargins left="0" right="0" top="0.42499999999999999" bottom="0.75" header="0.10625" footer="0.3"/>
  <pageSetup paperSize="5" scale="83" orientation="landscape" verticalDpi="300" r:id="rId1"/>
  <rowBreaks count="2" manualBreakCount="2">
    <brk id="37" max="16383" man="1"/>
    <brk id="6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133"/>
  <sheetViews>
    <sheetView view="pageBreakPreview" topLeftCell="A92" zoomScale="80" zoomScaleNormal="100" zoomScaleSheetLayoutView="80" zoomScalePageLayoutView="50" workbookViewId="0">
      <selection activeCell="C5" sqref="C5:G5"/>
    </sheetView>
  </sheetViews>
  <sheetFormatPr defaultRowHeight="14.6" x14ac:dyDescent="0.4"/>
  <cols>
    <col min="1" max="1" width="6.4609375" bestFit="1" customWidth="1"/>
    <col min="2" max="2" width="46" bestFit="1" customWidth="1"/>
    <col min="3" max="3" width="19.53515625" customWidth="1"/>
    <col min="4" max="4" width="18.07421875" customWidth="1"/>
    <col min="5" max="5" width="18.69140625" customWidth="1"/>
    <col min="6" max="6" width="9.3046875" bestFit="1" customWidth="1"/>
    <col min="8" max="8" width="10" bestFit="1" customWidth="1"/>
    <col min="9" max="9" width="7.074218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25.55" customHeight="1" x14ac:dyDescent="0.4">
      <c r="A3" s="2" t="s">
        <v>1</v>
      </c>
      <c r="B3" s="3" t="s">
        <v>2</v>
      </c>
      <c r="C3" s="497" t="s">
        <v>962</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963</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2.12</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605" t="s">
        <v>560</v>
      </c>
      <c r="D18" s="606"/>
      <c r="E18" s="607"/>
      <c r="F18" s="15"/>
      <c r="G18" s="13"/>
      <c r="H18" s="13"/>
      <c r="I18" s="13"/>
      <c r="J18" s="13"/>
      <c r="K18" s="13"/>
      <c r="L18" s="13"/>
      <c r="M18" s="13"/>
      <c r="N18" s="13"/>
    </row>
    <row r="19" spans="1:14" ht="25.65" x14ac:dyDescent="0.4">
      <c r="A19" s="9"/>
      <c r="B19" s="14" t="s">
        <v>1113</v>
      </c>
      <c r="C19" s="605" t="s">
        <v>560</v>
      </c>
      <c r="D19" s="606"/>
      <c r="E19" s="607"/>
      <c r="F19" s="15"/>
      <c r="G19" s="13" t="s">
        <v>693</v>
      </c>
      <c r="H19" s="8"/>
      <c r="I19" s="13"/>
      <c r="J19" s="13"/>
      <c r="K19" s="13"/>
      <c r="L19" s="13"/>
      <c r="M19" s="13"/>
      <c r="N19" s="13"/>
    </row>
    <row r="20" spans="1:14" x14ac:dyDescent="0.4">
      <c r="A20" s="9"/>
      <c r="B20" s="14" t="s">
        <v>605</v>
      </c>
      <c r="C20" s="605" t="s">
        <v>560</v>
      </c>
      <c r="D20" s="606"/>
      <c r="E20" s="60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c r="B24" s="15"/>
      <c r="C24" s="15"/>
      <c r="D24" s="170"/>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c r="K25" s="8"/>
      <c r="L25" s="8"/>
      <c r="M25" s="8"/>
      <c r="N25" s="8"/>
    </row>
    <row r="26" spans="1:14" x14ac:dyDescent="0.4">
      <c r="A26" s="9"/>
      <c r="B26" s="370" t="s">
        <v>19</v>
      </c>
      <c r="C26" s="371"/>
      <c r="D26" s="371"/>
      <c r="E26" s="372"/>
      <c r="F26" s="15"/>
      <c r="G26" s="8"/>
      <c r="H26" s="8"/>
      <c r="I26" s="8"/>
      <c r="J26" s="8"/>
      <c r="K26" s="8"/>
      <c r="L26" s="8"/>
      <c r="M26" s="8"/>
      <c r="N26" s="8"/>
    </row>
    <row r="27" spans="1:14" x14ac:dyDescent="0.4">
      <c r="A27" s="9"/>
      <c r="B27" s="17" t="s">
        <v>20</v>
      </c>
      <c r="C27" s="18" t="s">
        <v>262</v>
      </c>
      <c r="D27" s="171" t="s">
        <v>263</v>
      </c>
      <c r="E27" s="18" t="s">
        <v>23</v>
      </c>
      <c r="F27" s="15"/>
      <c r="G27" s="8"/>
      <c r="H27" s="8"/>
      <c r="I27" s="8"/>
      <c r="J27" s="8"/>
      <c r="K27" s="8"/>
      <c r="L27" s="8"/>
      <c r="M27" s="8"/>
      <c r="N27" s="8"/>
    </row>
    <row r="28" spans="1:14" ht="15.05" customHeight="1" x14ac:dyDescent="0.4">
      <c r="A28" s="9"/>
      <c r="B28" s="19" t="s">
        <v>1272</v>
      </c>
      <c r="C28" s="298">
        <v>9390.85</v>
      </c>
      <c r="D28" s="592" t="s">
        <v>264</v>
      </c>
      <c r="E28" s="540" t="s">
        <v>203</v>
      </c>
      <c r="F28" s="15"/>
      <c r="G28" s="8"/>
      <c r="H28" s="8"/>
      <c r="I28" s="8"/>
      <c r="J28" s="8"/>
      <c r="K28" s="8"/>
      <c r="L28" s="8"/>
      <c r="M28" s="8"/>
      <c r="N28" s="8"/>
    </row>
    <row r="29" spans="1:14" x14ac:dyDescent="0.4">
      <c r="A29" s="9"/>
      <c r="B29" s="19" t="s">
        <v>25</v>
      </c>
      <c r="C29" s="298">
        <v>141.69</v>
      </c>
      <c r="D29" s="593"/>
      <c r="E29" s="541"/>
      <c r="F29" s="15"/>
      <c r="G29" s="8"/>
      <c r="H29" s="8"/>
      <c r="I29" s="8"/>
      <c r="J29" s="8"/>
      <c r="K29" s="8"/>
      <c r="L29" s="8"/>
      <c r="M29" s="8"/>
      <c r="N29" s="8"/>
    </row>
    <row r="30" spans="1:14" x14ac:dyDescent="0.4">
      <c r="A30" s="9"/>
      <c r="B30" s="19" t="s">
        <v>26</v>
      </c>
      <c r="C30" s="298">
        <v>1019.92</v>
      </c>
      <c r="D30" s="593"/>
      <c r="E30" s="541"/>
      <c r="F30" s="15"/>
      <c r="G30" s="8"/>
      <c r="H30" s="8"/>
      <c r="I30" s="8"/>
      <c r="J30" s="8"/>
      <c r="K30" s="8"/>
      <c r="L30" s="8"/>
      <c r="M30" s="8"/>
      <c r="N30" s="8"/>
    </row>
    <row r="31" spans="1:14" x14ac:dyDescent="0.4">
      <c r="A31" s="9"/>
      <c r="B31" s="19" t="s">
        <v>27</v>
      </c>
      <c r="C31" s="298">
        <v>1365.4</v>
      </c>
      <c r="D31" s="594"/>
      <c r="E31" s="542"/>
      <c r="F31" s="15"/>
      <c r="G31" s="8"/>
      <c r="H31" s="8"/>
      <c r="I31" s="8"/>
      <c r="J31" s="8"/>
      <c r="K31" s="8"/>
      <c r="L31" s="8"/>
      <c r="M31" s="8"/>
      <c r="N31" s="8"/>
    </row>
    <row r="32" spans="1:14" x14ac:dyDescent="0.4">
      <c r="A32" s="9"/>
      <c r="B32" s="363" t="s">
        <v>709</v>
      </c>
      <c r="C32" s="368"/>
      <c r="D32" s="368"/>
      <c r="E32" s="369"/>
      <c r="F32" s="15"/>
      <c r="G32" s="8"/>
      <c r="H32" s="8"/>
      <c r="I32" s="8"/>
      <c r="J32" s="8"/>
      <c r="K32" s="8"/>
      <c r="L32" s="8"/>
      <c r="M32" s="8"/>
      <c r="N32" s="8"/>
    </row>
    <row r="33" spans="1:14" x14ac:dyDescent="0.4">
      <c r="A33" s="9"/>
      <c r="B33" s="13"/>
      <c r="C33" s="15"/>
      <c r="D33" s="170"/>
      <c r="E33" s="15"/>
      <c r="F33" s="15"/>
      <c r="G33" s="8"/>
      <c r="H33" s="8"/>
      <c r="I33" s="8"/>
      <c r="J33" s="8"/>
      <c r="K33" s="8"/>
      <c r="L33" s="8"/>
      <c r="M33" s="8"/>
      <c r="N33" s="8"/>
    </row>
    <row r="34" spans="1:14" ht="27.75" customHeight="1" x14ac:dyDescent="0.4">
      <c r="A34" s="9">
        <v>7</v>
      </c>
      <c r="B34" s="365" t="s">
        <v>28</v>
      </c>
      <c r="C34" s="365"/>
      <c r="D34" s="365"/>
      <c r="E34" s="365"/>
      <c r="F34" s="11"/>
      <c r="G34" s="11"/>
      <c r="H34" s="11"/>
      <c r="I34" s="11"/>
      <c r="J34" s="11"/>
      <c r="K34" s="8"/>
      <c r="L34" s="8"/>
      <c r="M34" s="8"/>
      <c r="N34" s="8"/>
    </row>
    <row r="35" spans="1:14" x14ac:dyDescent="0.4">
      <c r="A35" s="9"/>
      <c r="B35" s="17" t="s">
        <v>29</v>
      </c>
      <c r="C35" s="446" t="s">
        <v>30</v>
      </c>
      <c r="D35" s="446"/>
      <c r="E35" s="446"/>
      <c r="F35" s="13"/>
      <c r="G35" s="8"/>
      <c r="H35" s="8"/>
      <c r="I35" s="8"/>
      <c r="J35" s="8"/>
      <c r="K35" s="8"/>
      <c r="L35" s="8"/>
      <c r="M35" s="8"/>
      <c r="N35" s="8"/>
    </row>
    <row r="36" spans="1:14" x14ac:dyDescent="0.4">
      <c r="A36" s="9"/>
      <c r="B36" s="17" t="s">
        <v>31</v>
      </c>
      <c r="C36" s="446" t="s">
        <v>320</v>
      </c>
      <c r="D36" s="446"/>
      <c r="E36" s="446"/>
      <c r="F36" s="13"/>
      <c r="G36" s="8"/>
      <c r="H36" s="8"/>
      <c r="I36" s="8"/>
      <c r="J36" s="8"/>
      <c r="K36" s="8"/>
      <c r="L36" s="8"/>
      <c r="M36" s="8"/>
      <c r="N36" s="8"/>
    </row>
    <row r="37" spans="1:14" x14ac:dyDescent="0.4">
      <c r="A37" s="9"/>
      <c r="B37" s="17" t="s">
        <v>32</v>
      </c>
      <c r="C37" s="446" t="s">
        <v>201</v>
      </c>
      <c r="D37" s="446"/>
      <c r="E37" s="446"/>
      <c r="F37" s="13"/>
      <c r="G37" s="8"/>
      <c r="H37" s="8"/>
      <c r="I37" s="8"/>
      <c r="J37" s="8"/>
      <c r="K37" s="8"/>
      <c r="L37" s="8"/>
      <c r="M37" s="8"/>
      <c r="N37" s="8"/>
    </row>
    <row r="38" spans="1:14" x14ac:dyDescent="0.4">
      <c r="A38" s="9"/>
      <c r="B38" s="8"/>
      <c r="C38" s="13"/>
      <c r="D38" s="169"/>
      <c r="E38" s="13"/>
      <c r="F38" s="13"/>
      <c r="G38" s="8"/>
      <c r="H38" s="8"/>
      <c r="I38" s="8"/>
      <c r="J38" s="8"/>
      <c r="K38" s="8"/>
      <c r="L38" s="8"/>
      <c r="M38" s="8"/>
      <c r="N38" s="8"/>
    </row>
    <row r="39" spans="1:14" x14ac:dyDescent="0.4">
      <c r="A39" s="9"/>
      <c r="B39" s="15"/>
      <c r="C39" s="13"/>
      <c r="D39" s="169"/>
      <c r="E39" s="13"/>
      <c r="F39" s="13"/>
      <c r="G39" s="8"/>
      <c r="H39" s="8"/>
      <c r="I39" s="8"/>
      <c r="J39" s="8"/>
      <c r="K39" s="8"/>
      <c r="L39" s="8"/>
      <c r="M39" s="8"/>
      <c r="N39" s="8"/>
    </row>
    <row r="40" spans="1:14" x14ac:dyDescent="0.4">
      <c r="A40" s="9">
        <v>8</v>
      </c>
      <c r="B40" s="365" t="s">
        <v>1084</v>
      </c>
      <c r="C40" s="365"/>
      <c r="D40" s="365"/>
      <c r="E40" s="365"/>
      <c r="F40" s="11"/>
      <c r="G40" s="11"/>
      <c r="H40" s="11"/>
      <c r="I40" s="11"/>
      <c r="J40" s="11"/>
      <c r="K40" s="8"/>
      <c r="L40" s="8"/>
      <c r="M40" s="8"/>
      <c r="N40" s="8"/>
    </row>
    <row r="41" spans="1:14" ht="15.05" customHeight="1" x14ac:dyDescent="0.4">
      <c r="A41" s="9"/>
      <c r="B41" s="17" t="s">
        <v>34</v>
      </c>
      <c r="C41" s="373" t="s">
        <v>730</v>
      </c>
      <c r="D41" s="374"/>
      <c r="E41" s="375"/>
      <c r="F41" s="13"/>
      <c r="G41" s="8"/>
      <c r="H41" s="8"/>
      <c r="I41" s="8"/>
      <c r="J41" s="8"/>
      <c r="K41" s="8"/>
      <c r="L41" s="8"/>
      <c r="M41" s="8"/>
      <c r="N41" s="8"/>
    </row>
    <row r="42" spans="1:14" x14ac:dyDescent="0.4">
      <c r="A42" s="9"/>
      <c r="B42" s="17" t="s">
        <v>31</v>
      </c>
      <c r="C42" s="373" t="s">
        <v>320</v>
      </c>
      <c r="D42" s="374"/>
      <c r="E42" s="375"/>
      <c r="F42" s="13"/>
      <c r="G42" s="8"/>
      <c r="H42" s="8"/>
      <c r="I42" s="8"/>
      <c r="J42" s="8"/>
      <c r="K42" s="8"/>
      <c r="L42" s="8"/>
      <c r="M42" s="8"/>
      <c r="N42" s="8"/>
    </row>
    <row r="43" spans="1:14" x14ac:dyDescent="0.4">
      <c r="A43" s="9"/>
      <c r="B43" s="17" t="s">
        <v>32</v>
      </c>
      <c r="C43" s="446" t="s">
        <v>201</v>
      </c>
      <c r="D43" s="446"/>
      <c r="E43" s="446"/>
      <c r="F43" s="13"/>
      <c r="G43" s="8"/>
      <c r="H43" s="8"/>
      <c r="I43" s="8"/>
      <c r="J43" s="8"/>
      <c r="K43" s="8"/>
      <c r="L43" s="8"/>
      <c r="M43" s="8"/>
      <c r="N43" s="8"/>
    </row>
    <row r="44" spans="1:14" x14ac:dyDescent="0.4">
      <c r="A44" s="9"/>
      <c r="B44" s="363" t="s">
        <v>848</v>
      </c>
      <c r="C44" s="368"/>
      <c r="D44" s="368"/>
      <c r="E44" s="369"/>
      <c r="F44" s="13"/>
      <c r="G44" s="8"/>
      <c r="H44" s="8"/>
      <c r="I44" s="8"/>
      <c r="J44" s="8"/>
      <c r="K44" s="8"/>
      <c r="L44" s="8"/>
      <c r="M44" s="8"/>
      <c r="N44" s="8"/>
    </row>
    <row r="45" spans="1:14" x14ac:dyDescent="0.4">
      <c r="A45" s="2"/>
      <c r="B45" s="8"/>
      <c r="C45" s="8"/>
      <c r="D45" s="173"/>
      <c r="E45" s="13"/>
      <c r="F45" s="8"/>
      <c r="G45" s="8"/>
      <c r="H45" s="8"/>
      <c r="I45" s="8"/>
      <c r="J45" s="8"/>
      <c r="K45" s="8"/>
      <c r="L45" s="8"/>
      <c r="M45" s="8"/>
      <c r="N45" s="8"/>
    </row>
    <row r="46" spans="1:14" x14ac:dyDescent="0.4">
      <c r="A46" s="24">
        <v>9</v>
      </c>
      <c r="B46" s="376" t="s">
        <v>1085</v>
      </c>
      <c r="C46" s="365"/>
      <c r="D46" s="365"/>
      <c r="E46" s="365"/>
      <c r="F46" s="25"/>
      <c r="G46" s="11"/>
      <c r="H46" s="11"/>
      <c r="I46" s="11"/>
      <c r="J46" s="8"/>
      <c r="K46" s="8"/>
      <c r="L46" s="8"/>
      <c r="M46" s="8"/>
      <c r="N46" s="8"/>
    </row>
    <row r="47" spans="1:14" ht="38.450000000000003" x14ac:dyDescent="0.4">
      <c r="A47" s="24"/>
      <c r="B47" s="26" t="s">
        <v>37</v>
      </c>
      <c r="C47" s="27" t="s">
        <v>38</v>
      </c>
      <c r="D47" s="174" t="s">
        <v>39</v>
      </c>
      <c r="E47" s="27" t="s">
        <v>206</v>
      </c>
      <c r="F47" s="8"/>
      <c r="G47" s="8"/>
      <c r="H47" s="8"/>
      <c r="I47" s="8"/>
      <c r="J47" s="8"/>
      <c r="K47" s="8"/>
      <c r="L47" s="8"/>
      <c r="M47" s="8"/>
      <c r="N47" s="8"/>
    </row>
    <row r="48" spans="1:14" ht="212.05" x14ac:dyDescent="0.4">
      <c r="A48" s="29"/>
      <c r="B48" s="78" t="s">
        <v>307</v>
      </c>
      <c r="C48" s="78" t="s">
        <v>1217</v>
      </c>
      <c r="D48" s="78" t="s">
        <v>1218</v>
      </c>
      <c r="E48" s="117" t="s">
        <v>83</v>
      </c>
      <c r="F48" s="8"/>
      <c r="G48" s="8"/>
      <c r="H48" s="8"/>
      <c r="I48" s="8"/>
      <c r="J48" s="8"/>
      <c r="K48" s="8"/>
      <c r="L48" s="8"/>
      <c r="M48" s="8"/>
      <c r="N48" s="8"/>
    </row>
    <row r="49" spans="1:14" x14ac:dyDescent="0.4">
      <c r="A49" s="31"/>
      <c r="B49" s="380" t="s">
        <v>1035</v>
      </c>
      <c r="C49" s="381"/>
      <c r="D49" s="381"/>
      <c r="E49" s="382"/>
      <c r="F49" s="15"/>
      <c r="G49" s="15"/>
      <c r="H49" s="15"/>
      <c r="I49" s="8"/>
      <c r="J49" s="8"/>
      <c r="K49" s="8"/>
      <c r="L49" s="8"/>
      <c r="M49" s="8"/>
      <c r="N49" s="8"/>
    </row>
    <row r="50" spans="1:14" x14ac:dyDescent="0.4">
      <c r="A50" s="32"/>
      <c r="B50" s="62"/>
      <c r="C50" s="23"/>
      <c r="D50" s="173"/>
      <c r="E50" s="23"/>
      <c r="F50" s="15"/>
      <c r="G50" s="15"/>
      <c r="H50" s="15"/>
      <c r="I50" s="15"/>
      <c r="J50" s="8"/>
      <c r="K50" s="8"/>
      <c r="L50" s="8"/>
      <c r="M50" s="8"/>
      <c r="N50" s="8"/>
    </row>
    <row r="51" spans="1:14" x14ac:dyDescent="0.4">
      <c r="A51" s="24">
        <v>10</v>
      </c>
      <c r="B51" s="553" t="s">
        <v>1085</v>
      </c>
      <c r="C51" s="366"/>
      <c r="D51" s="366"/>
      <c r="E51" s="366"/>
      <c r="F51" s="15"/>
      <c r="G51" s="15"/>
      <c r="H51" s="15"/>
      <c r="I51" s="8"/>
      <c r="J51" s="8"/>
      <c r="K51" s="8"/>
      <c r="L51" s="8"/>
      <c r="M51" s="8"/>
      <c r="N51" s="8"/>
    </row>
    <row r="52" spans="1:14" ht="15.05" customHeight="1" x14ac:dyDescent="0.4">
      <c r="A52" s="29"/>
      <c r="B52" s="506" t="s">
        <v>43</v>
      </c>
      <c r="C52" s="500" t="s">
        <v>1289</v>
      </c>
      <c r="D52" s="500"/>
      <c r="E52" s="500"/>
      <c r="F52" s="500"/>
      <c r="G52" s="500"/>
      <c r="H52" s="500"/>
      <c r="I52" s="500"/>
      <c r="J52" s="8"/>
      <c r="K52" s="1"/>
      <c r="L52" s="8"/>
      <c r="M52" s="8"/>
      <c r="N52" s="8"/>
    </row>
    <row r="53" spans="1:14" ht="24.75" customHeight="1" x14ac:dyDescent="0.4">
      <c r="A53" s="29"/>
      <c r="B53" s="506"/>
      <c r="C53" s="500"/>
      <c r="D53" s="500"/>
      <c r="E53" s="500"/>
      <c r="F53" s="500"/>
      <c r="G53" s="500"/>
      <c r="H53" s="500"/>
      <c r="I53" s="500"/>
      <c r="J53" s="8"/>
      <c r="K53" s="1"/>
      <c r="L53" s="8"/>
      <c r="M53" s="8"/>
      <c r="N53" s="8"/>
    </row>
    <row r="54" spans="1:14" ht="54" customHeight="1" x14ac:dyDescent="0.4">
      <c r="A54" s="24"/>
      <c r="B54" s="4" t="s">
        <v>44</v>
      </c>
      <c r="C54" s="391" t="s">
        <v>1290</v>
      </c>
      <c r="D54" s="391"/>
      <c r="E54" s="391"/>
      <c r="F54" s="391"/>
      <c r="G54" s="391"/>
      <c r="H54" s="391"/>
      <c r="I54" s="391"/>
      <c r="J54" s="8"/>
      <c r="K54" s="8"/>
      <c r="L54" s="8"/>
      <c r="M54" s="8"/>
      <c r="N54" s="8"/>
    </row>
    <row r="55" spans="1:14" x14ac:dyDescent="0.4">
      <c r="A55" s="29"/>
      <c r="B55" s="4" t="s">
        <v>45</v>
      </c>
      <c r="C55" s="391" t="s">
        <v>46</v>
      </c>
      <c r="D55" s="391"/>
      <c r="E55" s="391"/>
      <c r="F55" s="391"/>
      <c r="G55" s="391"/>
      <c r="H55" s="391"/>
      <c r="I55" s="391"/>
      <c r="J55" s="8"/>
      <c r="K55" s="34"/>
      <c r="L55" s="8"/>
      <c r="M55" s="8"/>
      <c r="N55" s="8"/>
    </row>
    <row r="56" spans="1:14" x14ac:dyDescent="0.4">
      <c r="A56" s="29"/>
      <c r="B56" s="480" t="s">
        <v>1035</v>
      </c>
      <c r="C56" s="480"/>
      <c r="D56" s="480"/>
      <c r="E56" s="480"/>
      <c r="F56" s="480"/>
      <c r="G56" s="480"/>
      <c r="H56" s="480"/>
      <c r="I56" s="480"/>
      <c r="J56" s="8"/>
      <c r="K56" s="34"/>
      <c r="L56" s="8"/>
      <c r="M56" s="8"/>
      <c r="N56" s="8"/>
    </row>
    <row r="57" spans="1:14" x14ac:dyDescent="0.4">
      <c r="A57" s="35" t="s">
        <v>47</v>
      </c>
      <c r="B57" s="392" t="s">
        <v>48</v>
      </c>
      <c r="C57" s="392"/>
      <c r="D57" s="392"/>
      <c r="E57" s="392"/>
      <c r="F57" s="392"/>
      <c r="G57" s="392"/>
      <c r="H57" s="392"/>
      <c r="I57" s="392"/>
      <c r="J57" s="63"/>
      <c r="K57" s="63"/>
      <c r="L57" s="63"/>
      <c r="M57" s="63"/>
      <c r="N57" s="63"/>
    </row>
    <row r="58" spans="1:14" x14ac:dyDescent="0.4">
      <c r="A58" s="40"/>
      <c r="B58" s="321"/>
      <c r="C58" s="53"/>
      <c r="D58" s="330"/>
      <c r="E58" s="53"/>
      <c r="F58" s="53"/>
      <c r="G58" s="8"/>
      <c r="H58" s="8"/>
      <c r="I58" s="8"/>
      <c r="J58" s="8"/>
      <c r="K58" s="8"/>
      <c r="L58" s="8"/>
      <c r="M58" s="8"/>
      <c r="N58" s="8"/>
    </row>
    <row r="59" spans="1:14" x14ac:dyDescent="0.4">
      <c r="A59" s="9">
        <v>11</v>
      </c>
      <c r="B59" s="3" t="s">
        <v>49</v>
      </c>
      <c r="C59" s="580" t="s">
        <v>851</v>
      </c>
      <c r="D59" s="580"/>
      <c r="E59" s="580"/>
      <c r="F59" s="11"/>
      <c r="G59" s="11"/>
      <c r="H59" s="43"/>
      <c r="I59" s="11"/>
      <c r="J59" s="11"/>
      <c r="K59" s="8"/>
      <c r="L59" s="8"/>
      <c r="M59" s="8"/>
      <c r="N59" s="8"/>
    </row>
    <row r="60" spans="1:14" x14ac:dyDescent="0.4">
      <c r="A60" s="9"/>
      <c r="B60" s="15"/>
      <c r="C60" s="15"/>
      <c r="D60" s="170"/>
      <c r="E60" s="15"/>
      <c r="F60" s="15"/>
      <c r="G60" s="15"/>
      <c r="H60" s="44"/>
      <c r="I60" s="44"/>
      <c r="J60" s="15"/>
      <c r="K60" s="8"/>
      <c r="L60" s="8"/>
      <c r="M60" s="8"/>
      <c r="N60" s="8"/>
    </row>
    <row r="61" spans="1:14" x14ac:dyDescent="0.4">
      <c r="A61" s="9">
        <v>12</v>
      </c>
      <c r="B61" s="11" t="s">
        <v>51</v>
      </c>
      <c r="C61" s="11"/>
      <c r="D61" s="176"/>
      <c r="E61" s="43"/>
      <c r="F61" s="43"/>
      <c r="G61" s="11"/>
      <c r="H61" s="282"/>
      <c r="I61" s="11"/>
      <c r="J61" s="11"/>
      <c r="K61" s="11"/>
      <c r="L61" s="11"/>
      <c r="M61" s="11"/>
      <c r="N61" s="11"/>
    </row>
    <row r="62" spans="1:14" x14ac:dyDescent="0.4">
      <c r="A62" s="9"/>
      <c r="B62" s="17" t="s">
        <v>52</v>
      </c>
      <c r="C62" s="446" t="s">
        <v>964</v>
      </c>
      <c r="D62" s="446"/>
      <c r="E62" s="446"/>
      <c r="F62" s="44"/>
      <c r="G62" s="44"/>
      <c r="H62" s="118"/>
      <c r="I62" s="15"/>
      <c r="J62" s="15"/>
      <c r="K62" s="15"/>
      <c r="L62" s="15"/>
      <c r="M62" s="15"/>
      <c r="N62" s="15"/>
    </row>
    <row r="63" spans="1:14" x14ac:dyDescent="0.4">
      <c r="A63" s="9"/>
      <c r="B63" s="15"/>
      <c r="C63" s="15"/>
      <c r="D63" s="236"/>
      <c r="E63" s="118"/>
      <c r="F63" s="15"/>
      <c r="G63" s="15"/>
      <c r="H63" s="15"/>
      <c r="I63" s="15"/>
      <c r="J63" s="15"/>
      <c r="K63" s="15"/>
      <c r="L63" s="15"/>
      <c r="M63" s="15"/>
      <c r="N63" s="15"/>
    </row>
    <row r="64" spans="1:14" x14ac:dyDescent="0.4">
      <c r="A64" s="9"/>
      <c r="B64" s="365" t="s">
        <v>53</v>
      </c>
      <c r="C64" s="366" t="s">
        <v>971</v>
      </c>
      <c r="D64" s="558" t="s">
        <v>271</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44.1</v>
      </c>
      <c r="D66" s="101">
        <v>39.25</v>
      </c>
      <c r="E66" s="101">
        <v>36</v>
      </c>
      <c r="F66" s="101">
        <v>54.75</v>
      </c>
      <c r="G66" s="101">
        <v>79.55</v>
      </c>
      <c r="H66" s="101">
        <v>35.049999999999997</v>
      </c>
      <c r="I66" s="45" t="s">
        <v>41</v>
      </c>
      <c r="J66" s="45" t="s">
        <v>41</v>
      </c>
      <c r="K66" s="45" t="s">
        <v>41</v>
      </c>
      <c r="L66" s="45" t="s">
        <v>41</v>
      </c>
      <c r="M66" s="45" t="s">
        <v>41</v>
      </c>
      <c r="N66" s="45" t="s">
        <v>41</v>
      </c>
    </row>
    <row r="67" spans="1:14" x14ac:dyDescent="0.4">
      <c r="A67" s="2"/>
      <c r="B67" s="17" t="s">
        <v>216</v>
      </c>
      <c r="C67" s="284">
        <v>58338.93</v>
      </c>
      <c r="D67" s="65">
        <v>52930.31</v>
      </c>
      <c r="E67" s="101">
        <v>54395.23</v>
      </c>
      <c r="F67" s="101">
        <v>58991.519999999997</v>
      </c>
      <c r="G67" s="101">
        <v>63583.07</v>
      </c>
      <c r="H67" s="101">
        <v>50921.22</v>
      </c>
      <c r="I67" s="45" t="s">
        <v>41</v>
      </c>
      <c r="J67" s="45" t="s">
        <v>41</v>
      </c>
      <c r="K67" s="45" t="s">
        <v>41</v>
      </c>
      <c r="L67" s="45" t="s">
        <v>41</v>
      </c>
      <c r="M67" s="45" t="s">
        <v>41</v>
      </c>
      <c r="N67" s="45" t="s">
        <v>41</v>
      </c>
    </row>
    <row r="68" spans="1:14" x14ac:dyDescent="0.4">
      <c r="A68" s="2"/>
      <c r="B68" s="17" t="s">
        <v>1087</v>
      </c>
      <c r="C68" s="446" t="s">
        <v>83</v>
      </c>
      <c r="D68" s="446"/>
      <c r="E68" s="446"/>
      <c r="F68" s="446"/>
      <c r="G68" s="446"/>
      <c r="H68" s="446"/>
      <c r="I68" s="446"/>
      <c r="J68" s="446"/>
      <c r="K68" s="446"/>
      <c r="L68" s="446"/>
      <c r="M68" s="446"/>
      <c r="N68" s="446"/>
    </row>
    <row r="69" spans="1:14" s="8" customFormat="1" ht="13.25" x14ac:dyDescent="0.4">
      <c r="A69" s="2"/>
      <c r="B69" s="399" t="s">
        <v>1098</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1127</v>
      </c>
      <c r="E78" s="18" t="s">
        <v>218</v>
      </c>
      <c r="F78" s="18" t="s">
        <v>71</v>
      </c>
      <c r="G78" s="18" t="s">
        <v>107</v>
      </c>
      <c r="H78" s="13"/>
      <c r="I78" s="13"/>
      <c r="J78" s="13"/>
      <c r="K78" s="13"/>
      <c r="L78" s="13"/>
      <c r="M78" s="13"/>
      <c r="N78" s="13"/>
    </row>
    <row r="79" spans="1:14" ht="25.55" customHeight="1" x14ac:dyDescent="0.4">
      <c r="A79" s="2"/>
      <c r="B79" s="411" t="s">
        <v>1270</v>
      </c>
      <c r="C79" s="207" t="s">
        <v>970</v>
      </c>
      <c r="D79" s="101">
        <v>5.03</v>
      </c>
      <c r="E79" s="66">
        <v>1.39</v>
      </c>
      <c r="F79" s="435" t="s">
        <v>326</v>
      </c>
      <c r="G79" s="435" t="s">
        <v>220</v>
      </c>
      <c r="H79" s="53"/>
      <c r="I79" s="53"/>
      <c r="J79" s="53"/>
      <c r="K79" s="53"/>
      <c r="L79" s="53"/>
      <c r="M79" s="53"/>
      <c r="N79" s="53"/>
    </row>
    <row r="80" spans="1:14" x14ac:dyDescent="0.4">
      <c r="A80" s="2"/>
      <c r="B80" s="533"/>
      <c r="C80" s="207" t="s">
        <v>765</v>
      </c>
      <c r="D80" s="65"/>
      <c r="E80" s="66"/>
      <c r="F80" s="436"/>
      <c r="G80" s="436"/>
      <c r="H80" s="53"/>
      <c r="I80" s="53"/>
      <c r="J80" s="53"/>
      <c r="K80" s="53"/>
      <c r="L80" s="53"/>
      <c r="M80" s="53"/>
      <c r="N80" s="53"/>
    </row>
    <row r="81" spans="1:14" x14ac:dyDescent="0.4">
      <c r="A81" s="2"/>
      <c r="B81" s="533"/>
      <c r="C81" s="227" t="s">
        <v>965</v>
      </c>
      <c r="D81" s="101">
        <v>6.45</v>
      </c>
      <c r="E81" s="66">
        <v>19.059999999999999</v>
      </c>
      <c r="F81" s="436"/>
      <c r="G81" s="436"/>
      <c r="H81" s="53"/>
      <c r="I81" s="53"/>
      <c r="J81" s="53"/>
      <c r="K81" s="53"/>
      <c r="L81" s="53"/>
      <c r="M81" s="53"/>
      <c r="N81" s="53"/>
    </row>
    <row r="82" spans="1:14" x14ac:dyDescent="0.4">
      <c r="A82" s="2"/>
      <c r="B82" s="533"/>
      <c r="C82" s="227" t="s">
        <v>966</v>
      </c>
      <c r="D82" s="65">
        <v>10.81</v>
      </c>
      <c r="E82" s="66">
        <v>12.58</v>
      </c>
      <c r="F82" s="436"/>
      <c r="G82" s="436"/>
      <c r="H82" s="53"/>
      <c r="I82" s="53"/>
      <c r="J82" s="53"/>
      <c r="K82" s="53"/>
      <c r="L82" s="53"/>
      <c r="M82" s="53"/>
      <c r="N82" s="53"/>
    </row>
    <row r="83" spans="1:14" x14ac:dyDescent="0.4">
      <c r="A83" s="2"/>
      <c r="B83" s="533"/>
      <c r="C83" s="227" t="s">
        <v>967</v>
      </c>
      <c r="D83" s="101">
        <v>12.34</v>
      </c>
      <c r="E83" s="66">
        <v>20.329999999999998</v>
      </c>
      <c r="F83" s="436"/>
      <c r="G83" s="436"/>
      <c r="H83" s="53"/>
      <c r="I83" s="53"/>
      <c r="J83" s="53"/>
      <c r="K83" s="53"/>
      <c r="L83" s="53"/>
      <c r="M83" s="53"/>
      <c r="N83" s="53"/>
    </row>
    <row r="84" spans="1:14" x14ac:dyDescent="0.4">
      <c r="A84" s="2"/>
      <c r="B84" s="533"/>
      <c r="C84" s="227" t="s">
        <v>968</v>
      </c>
      <c r="D84" s="65">
        <v>1.5</v>
      </c>
      <c r="E84" s="66">
        <v>-4.37</v>
      </c>
      <c r="F84" s="436"/>
      <c r="G84" s="436"/>
      <c r="H84" s="53"/>
      <c r="I84" s="53"/>
      <c r="J84" s="53"/>
      <c r="K84" s="53"/>
      <c r="L84" s="53"/>
      <c r="M84" s="53"/>
      <c r="N84" s="53"/>
    </row>
    <row r="85" spans="1:14" ht="26.95" x14ac:dyDescent="0.4">
      <c r="A85" s="2"/>
      <c r="B85" s="533"/>
      <c r="C85" s="227" t="s">
        <v>969</v>
      </c>
      <c r="D85" s="101">
        <v>1.63</v>
      </c>
      <c r="E85" s="70">
        <v>4.2</v>
      </c>
      <c r="F85" s="436"/>
      <c r="G85" s="436"/>
      <c r="H85" s="53"/>
      <c r="I85" s="53"/>
      <c r="J85" s="53"/>
      <c r="K85" s="53"/>
      <c r="L85" s="53"/>
      <c r="M85" s="53"/>
      <c r="N85" s="53"/>
    </row>
    <row r="86" spans="1:14" x14ac:dyDescent="0.4">
      <c r="A86" s="2"/>
      <c r="B86" s="534"/>
      <c r="C86" s="3" t="s">
        <v>74</v>
      </c>
      <c r="D86" s="225">
        <f>AVERAGE(D81:D85)</f>
        <v>6.5460000000000012</v>
      </c>
      <c r="E86" s="79">
        <f>AVERAGE(E81:E85)</f>
        <v>10.360000000000001</v>
      </c>
      <c r="F86" s="436"/>
      <c r="G86" s="436"/>
      <c r="H86" s="53"/>
      <c r="I86" s="53"/>
      <c r="J86" s="53"/>
      <c r="K86" s="53"/>
      <c r="L86" s="53"/>
      <c r="M86" s="53"/>
      <c r="N86" s="53"/>
    </row>
    <row r="87" spans="1:14" ht="25.65" x14ac:dyDescent="0.4">
      <c r="A87" s="2"/>
      <c r="B87" s="411" t="s">
        <v>75</v>
      </c>
      <c r="C87" s="207" t="s">
        <v>970</v>
      </c>
      <c r="D87" s="101">
        <v>8.15</v>
      </c>
      <c r="E87" s="70">
        <f>F66/E79</f>
        <v>39.388489208633096</v>
      </c>
      <c r="F87" s="436"/>
      <c r="G87" s="436"/>
      <c r="H87" s="53"/>
      <c r="I87" s="53"/>
      <c r="J87" s="53"/>
      <c r="K87" s="53"/>
      <c r="L87" s="53"/>
      <c r="M87" s="53"/>
      <c r="N87" s="53"/>
    </row>
    <row r="88" spans="1:14" x14ac:dyDescent="0.4">
      <c r="A88" s="2"/>
      <c r="B88" s="533"/>
      <c r="C88" s="207" t="s">
        <v>765</v>
      </c>
      <c r="D88" s="65"/>
      <c r="E88" s="66"/>
      <c r="F88" s="436"/>
      <c r="G88" s="436"/>
      <c r="H88" s="53"/>
      <c r="I88" s="53"/>
      <c r="J88" s="53"/>
      <c r="K88" s="53"/>
      <c r="L88" s="53"/>
      <c r="M88" s="53"/>
      <c r="N88" s="53"/>
    </row>
    <row r="89" spans="1:14" x14ac:dyDescent="0.4">
      <c r="A89" s="2"/>
      <c r="B89" s="533"/>
      <c r="C89" s="227" t="s">
        <v>965</v>
      </c>
      <c r="D89" s="101">
        <v>11.51</v>
      </c>
      <c r="E89" s="70">
        <f>231/E81</f>
        <v>12.1196222455404</v>
      </c>
      <c r="F89" s="436"/>
      <c r="G89" s="436"/>
      <c r="H89" s="53"/>
      <c r="I89" s="53"/>
      <c r="J89" s="53"/>
      <c r="K89" s="53"/>
      <c r="L89" s="53"/>
      <c r="M89" s="53"/>
      <c r="N89" s="53"/>
    </row>
    <row r="90" spans="1:14" x14ac:dyDescent="0.4">
      <c r="A90" s="2"/>
      <c r="B90" s="533"/>
      <c r="C90" s="227" t="s">
        <v>966</v>
      </c>
      <c r="D90" s="65">
        <v>14.84</v>
      </c>
      <c r="E90" s="70">
        <f>147.5/E82</f>
        <v>11.72496025437202</v>
      </c>
      <c r="F90" s="436"/>
      <c r="G90" s="436"/>
      <c r="H90" s="53"/>
      <c r="I90" s="53"/>
      <c r="J90" s="53"/>
      <c r="K90" s="53"/>
      <c r="L90" s="53"/>
      <c r="M90" s="53"/>
      <c r="N90" s="53"/>
    </row>
    <row r="91" spans="1:14" x14ac:dyDescent="0.4">
      <c r="A91" s="2"/>
      <c r="B91" s="533"/>
      <c r="C91" s="227" t="s">
        <v>967</v>
      </c>
      <c r="D91" s="101">
        <v>32.520000000000003</v>
      </c>
      <c r="E91" s="70">
        <f>309.85/E83</f>
        <v>15.241023118544026</v>
      </c>
      <c r="F91" s="436"/>
      <c r="G91" s="436"/>
      <c r="H91" s="53"/>
      <c r="I91" s="53" t="s">
        <v>693</v>
      </c>
      <c r="J91" s="53"/>
      <c r="K91" s="53"/>
      <c r="L91" s="53"/>
      <c r="M91" s="53"/>
      <c r="N91" s="53"/>
    </row>
    <row r="92" spans="1:14" x14ac:dyDescent="0.4">
      <c r="A92" s="2"/>
      <c r="B92" s="533"/>
      <c r="C92" s="227" t="s">
        <v>968</v>
      </c>
      <c r="D92" s="65">
        <v>13.67</v>
      </c>
      <c r="E92" s="66">
        <v>0</v>
      </c>
      <c r="F92" s="436"/>
      <c r="G92" s="436"/>
      <c r="H92" s="53"/>
      <c r="I92" s="53"/>
      <c r="J92" s="53"/>
      <c r="K92" s="53"/>
      <c r="L92" s="53"/>
      <c r="M92" s="53"/>
      <c r="N92" s="53"/>
    </row>
    <row r="93" spans="1:14" ht="26.95" x14ac:dyDescent="0.4">
      <c r="A93" s="2"/>
      <c r="B93" s="533"/>
      <c r="C93" s="227" t="s">
        <v>969</v>
      </c>
      <c r="D93" s="101">
        <v>37.33</v>
      </c>
      <c r="E93" s="70">
        <f>105.35/E85</f>
        <v>25.083333333333332</v>
      </c>
      <c r="F93" s="436"/>
      <c r="G93" s="436"/>
      <c r="H93" s="178"/>
      <c r="I93" s="53"/>
      <c r="J93" s="53"/>
      <c r="K93" s="53"/>
      <c r="L93" s="53"/>
      <c r="M93" s="53"/>
      <c r="N93" s="53"/>
    </row>
    <row r="94" spans="1:14" x14ac:dyDescent="0.4">
      <c r="A94" s="2"/>
      <c r="B94" s="534"/>
      <c r="C94" s="3" t="s">
        <v>74</v>
      </c>
      <c r="D94" s="65">
        <f t="shared" ref="D94" si="0">AVERAGE(D89:D93)</f>
        <v>21.974</v>
      </c>
      <c r="E94" s="70">
        <f>AVERAGE(E89:E93)</f>
        <v>12.833787790357956</v>
      </c>
      <c r="F94" s="436"/>
      <c r="G94" s="436"/>
      <c r="H94" s="53"/>
      <c r="I94" s="53"/>
      <c r="J94" s="53"/>
      <c r="K94" s="53"/>
      <c r="L94" s="53"/>
      <c r="M94" s="53"/>
      <c r="N94" s="53"/>
    </row>
    <row r="95" spans="1:14" ht="25.65" x14ac:dyDescent="0.4">
      <c r="A95" s="2"/>
      <c r="B95" s="411" t="s">
        <v>76</v>
      </c>
      <c r="C95" s="207" t="s">
        <v>970</v>
      </c>
      <c r="D95" s="101">
        <v>40.58</v>
      </c>
      <c r="E95" s="71">
        <f>141.69/2385.32</f>
        <v>5.940083510807774E-2</v>
      </c>
      <c r="F95" s="436"/>
      <c r="G95" s="436"/>
      <c r="H95" s="53"/>
      <c r="I95" s="53"/>
      <c r="J95" s="53"/>
      <c r="K95" s="53"/>
      <c r="L95" s="53"/>
      <c r="M95" s="53"/>
      <c r="N95" s="53"/>
    </row>
    <row r="96" spans="1:14" x14ac:dyDescent="0.4">
      <c r="A96" s="2"/>
      <c r="B96" s="533"/>
      <c r="C96" s="207" t="s">
        <v>765</v>
      </c>
      <c r="D96" s="65"/>
      <c r="E96" s="66"/>
      <c r="F96" s="436"/>
      <c r="G96" s="436"/>
      <c r="H96" s="53"/>
      <c r="I96" s="53"/>
      <c r="J96" s="53"/>
      <c r="K96" s="53"/>
      <c r="L96" s="53"/>
      <c r="M96" s="53"/>
      <c r="N96" s="53"/>
    </row>
    <row r="97" spans="1:14" x14ac:dyDescent="0.4">
      <c r="A97" s="2"/>
      <c r="B97" s="533"/>
      <c r="C97" s="227" t="s">
        <v>965</v>
      </c>
      <c r="D97" s="101">
        <v>7.12</v>
      </c>
      <c r="E97" s="71">
        <f>823/5357.97</f>
        <v>0.15360295037112937</v>
      </c>
      <c r="F97" s="436"/>
      <c r="G97" s="436"/>
      <c r="H97" s="53"/>
      <c r="I97" s="53"/>
      <c r="J97" s="53"/>
      <c r="K97" s="53"/>
      <c r="L97" s="53"/>
      <c r="M97" s="53"/>
      <c r="N97" s="53"/>
    </row>
    <row r="98" spans="1:14" x14ac:dyDescent="0.4">
      <c r="A98" s="2"/>
      <c r="B98" s="533"/>
      <c r="C98" s="227" t="s">
        <v>966</v>
      </c>
      <c r="D98" s="65">
        <v>15.6</v>
      </c>
      <c r="E98" s="71">
        <f>2969.09/21537.14</f>
        <v>0.13785906578125046</v>
      </c>
      <c r="F98" s="436"/>
      <c r="G98" s="436"/>
      <c r="H98" s="53"/>
      <c r="I98" s="53"/>
      <c r="J98" s="53"/>
      <c r="K98" s="53"/>
      <c r="L98" s="53"/>
      <c r="M98" s="53"/>
      <c r="N98" s="53"/>
    </row>
    <row r="99" spans="1:14" x14ac:dyDescent="0.4">
      <c r="A99" s="2"/>
      <c r="B99" s="533"/>
      <c r="C99" s="227" t="s">
        <v>967</v>
      </c>
      <c r="D99" s="101">
        <v>28.26</v>
      </c>
      <c r="E99" s="71">
        <f>4531.69/18107.4</f>
        <v>0.25026729403448311</v>
      </c>
      <c r="F99" s="436"/>
      <c r="G99" s="436"/>
      <c r="H99" s="53"/>
      <c r="I99" s="53"/>
      <c r="J99" s="53"/>
      <c r="K99" s="53"/>
      <c r="L99" s="53"/>
      <c r="M99" s="53"/>
      <c r="N99" s="53"/>
    </row>
    <row r="100" spans="1:14" x14ac:dyDescent="0.4">
      <c r="A100" s="2"/>
      <c r="B100" s="533"/>
      <c r="C100" s="227" t="s">
        <v>968</v>
      </c>
      <c r="D100" s="65">
        <v>1.42</v>
      </c>
      <c r="E100" s="71">
        <f>-203.2/3690.55</f>
        <v>-5.5059543970410907E-2</v>
      </c>
      <c r="F100" s="436"/>
      <c r="G100" s="436"/>
      <c r="H100" s="179"/>
      <c r="I100" s="53" t="s">
        <v>693</v>
      </c>
      <c r="J100" s="53"/>
      <c r="K100" s="53"/>
      <c r="L100" s="53"/>
      <c r="M100" s="53"/>
      <c r="N100" s="53"/>
    </row>
    <row r="101" spans="1:14" ht="26.95" x14ac:dyDescent="0.4">
      <c r="A101" s="2"/>
      <c r="B101" s="533"/>
      <c r="C101" s="227" t="s">
        <v>969</v>
      </c>
      <c r="D101" s="101">
        <v>4.57</v>
      </c>
      <c r="E101" s="71">
        <f>4319.32/36347.11</f>
        <v>0.11883530767645625</v>
      </c>
      <c r="F101" s="436"/>
      <c r="G101" s="436"/>
      <c r="H101" s="53"/>
      <c r="I101" s="53"/>
      <c r="J101" s="53"/>
      <c r="K101" s="53"/>
      <c r="L101" s="53"/>
      <c r="M101" s="53"/>
      <c r="N101" s="53"/>
    </row>
    <row r="102" spans="1:14" x14ac:dyDescent="0.4">
      <c r="A102" s="2"/>
      <c r="B102" s="534"/>
      <c r="C102" s="3" t="s">
        <v>74</v>
      </c>
      <c r="D102" s="225">
        <f t="shared" ref="D102" si="1">AVERAGE(D97:D101)</f>
        <v>11.394000000000002</v>
      </c>
      <c r="E102" s="80">
        <f>AVERAGE(E97:E101)</f>
        <v>0.12110101477858166</v>
      </c>
      <c r="F102" s="436"/>
      <c r="G102" s="436"/>
      <c r="H102" s="53"/>
      <c r="I102" s="53"/>
      <c r="J102" s="53"/>
      <c r="K102" s="53"/>
      <c r="L102" s="53"/>
      <c r="M102" s="53"/>
      <c r="N102" s="53"/>
    </row>
    <row r="103" spans="1:14" ht="25.65" x14ac:dyDescent="0.4">
      <c r="A103" s="2"/>
      <c r="B103" s="603" t="s">
        <v>77</v>
      </c>
      <c r="C103" s="207" t="s">
        <v>970</v>
      </c>
      <c r="D103" s="101">
        <v>12.39</v>
      </c>
      <c r="E103" s="70">
        <f>141.69/101.99</f>
        <v>1.3892538484165116</v>
      </c>
      <c r="F103" s="436"/>
      <c r="G103" s="436"/>
      <c r="H103" s="53"/>
      <c r="I103" s="53"/>
      <c r="J103" s="53"/>
      <c r="K103" s="53"/>
      <c r="L103" s="53"/>
      <c r="M103" s="53"/>
      <c r="N103" s="53"/>
    </row>
    <row r="104" spans="1:14" x14ac:dyDescent="0.4">
      <c r="A104" s="2"/>
      <c r="B104" s="604"/>
      <c r="C104" s="207" t="s">
        <v>765</v>
      </c>
      <c r="D104" s="65"/>
      <c r="E104" s="66"/>
      <c r="F104" s="436"/>
      <c r="G104" s="436"/>
      <c r="H104" s="53"/>
      <c r="I104" s="53"/>
      <c r="J104" s="53"/>
      <c r="K104" s="53"/>
      <c r="L104" s="53"/>
      <c r="M104" s="53"/>
      <c r="N104" s="53"/>
    </row>
    <row r="105" spans="1:14" x14ac:dyDescent="0.4">
      <c r="A105" s="2"/>
      <c r="B105" s="604"/>
      <c r="C105" s="227" t="s">
        <v>965</v>
      </c>
      <c r="D105" s="101">
        <v>90.56</v>
      </c>
      <c r="E105" s="70">
        <f>5357.97/43.17</f>
        <v>124.11327310632383</v>
      </c>
      <c r="F105" s="436"/>
      <c r="G105" s="436"/>
      <c r="H105" s="53"/>
      <c r="I105" s="53"/>
      <c r="J105" s="53"/>
      <c r="K105" s="53" t="s">
        <v>693</v>
      </c>
      <c r="L105" s="53"/>
      <c r="M105" s="53"/>
      <c r="N105" s="53"/>
    </row>
    <row r="106" spans="1:14" x14ac:dyDescent="0.4">
      <c r="A106" s="2"/>
      <c r="B106" s="604"/>
      <c r="C106" s="227" t="s">
        <v>966</v>
      </c>
      <c r="D106" s="65">
        <v>69.290000000000006</v>
      </c>
      <c r="E106" s="70">
        <f>21537.14/1180</f>
        <v>18.251813559322034</v>
      </c>
      <c r="F106" s="436"/>
      <c r="G106" s="436"/>
      <c r="H106" s="53"/>
      <c r="I106" s="53"/>
      <c r="J106" s="53"/>
      <c r="K106" s="53"/>
      <c r="L106" s="53"/>
      <c r="M106" s="53"/>
      <c r="N106" s="53"/>
    </row>
    <row r="107" spans="1:14" x14ac:dyDescent="0.4">
      <c r="A107" s="1"/>
      <c r="B107" s="604"/>
      <c r="C107" s="227" t="s">
        <v>967</v>
      </c>
      <c r="D107" s="101">
        <v>43.67</v>
      </c>
      <c r="E107" s="70">
        <f>18107.4/222.54</f>
        <v>81.366945268266392</v>
      </c>
      <c r="F107" s="436"/>
      <c r="G107" s="436"/>
      <c r="H107" s="1"/>
      <c r="I107" s="1"/>
      <c r="J107" s="1"/>
      <c r="K107" s="1"/>
      <c r="L107" s="1"/>
      <c r="M107" s="1"/>
      <c r="N107" s="1"/>
    </row>
    <row r="108" spans="1:14" ht="15.05" customHeight="1" x14ac:dyDescent="0.4">
      <c r="A108" s="2"/>
      <c r="B108" s="604"/>
      <c r="C108" s="227" t="s">
        <v>968</v>
      </c>
      <c r="D108" s="65">
        <v>91.86</v>
      </c>
      <c r="E108" s="147">
        <f>3690.55/46.54</f>
        <v>79.298452943704348</v>
      </c>
      <c r="F108" s="436"/>
      <c r="G108" s="436"/>
      <c r="H108" s="53"/>
      <c r="I108" s="53"/>
      <c r="J108" s="53"/>
      <c r="K108" s="53"/>
      <c r="L108" s="53"/>
      <c r="M108" s="53"/>
      <c r="N108" s="53"/>
    </row>
    <row r="109" spans="1:14" ht="26.95" x14ac:dyDescent="0.4">
      <c r="A109" s="2"/>
      <c r="B109" s="604"/>
      <c r="C109" s="227" t="s">
        <v>969</v>
      </c>
      <c r="D109" s="101">
        <v>29.37</v>
      </c>
      <c r="E109" s="70">
        <f>36347.11/1030.05</f>
        <v>35.286743361972725</v>
      </c>
      <c r="F109" s="436"/>
      <c r="G109" s="436"/>
      <c r="H109" s="53"/>
      <c r="I109" s="53"/>
      <c r="J109" s="53"/>
      <c r="K109" s="53"/>
      <c r="L109" s="53"/>
      <c r="M109" s="53"/>
      <c r="N109" s="53"/>
    </row>
    <row r="110" spans="1:14" ht="15.05" customHeight="1" x14ac:dyDescent="0.4">
      <c r="A110" s="2"/>
      <c r="B110" s="604"/>
      <c r="C110" s="3" t="s">
        <v>74</v>
      </c>
      <c r="D110" s="225">
        <f t="shared" ref="D110" si="2">AVERAGE(D105:D109)</f>
        <v>64.950000000000017</v>
      </c>
      <c r="E110" s="130">
        <f>AVERAGE(E105:E109)</f>
        <v>67.663445647917868</v>
      </c>
      <c r="F110" s="547"/>
      <c r="G110" s="547"/>
      <c r="H110" s="53"/>
      <c r="I110" s="53"/>
      <c r="J110" s="53"/>
      <c r="K110" s="53"/>
      <c r="L110" s="53"/>
      <c r="M110" s="53"/>
      <c r="N110" s="53"/>
    </row>
    <row r="111" spans="1:14" ht="15.8" customHeight="1" x14ac:dyDescent="0.4">
      <c r="A111" s="8"/>
      <c r="B111" s="595" t="s">
        <v>1244</v>
      </c>
      <c r="C111" s="596"/>
      <c r="D111" s="596"/>
      <c r="E111" s="596"/>
      <c r="F111" s="596"/>
      <c r="G111" s="597"/>
      <c r="H111" s="53"/>
      <c r="I111" s="53"/>
      <c r="J111" s="8"/>
      <c r="K111" s="8"/>
      <c r="L111" s="8"/>
      <c r="M111" s="8"/>
      <c r="N111" s="8"/>
    </row>
    <row r="112" spans="1:14" ht="30.05" customHeight="1" x14ac:dyDescent="0.4">
      <c r="A112" s="8"/>
      <c r="B112" s="598" t="s">
        <v>1277</v>
      </c>
      <c r="C112" s="598"/>
      <c r="D112" s="598"/>
      <c r="E112" s="598"/>
      <c r="F112" s="598"/>
      <c r="G112" s="599"/>
      <c r="H112" s="53"/>
      <c r="I112" s="53"/>
      <c r="J112" s="8"/>
      <c r="K112" s="8"/>
      <c r="L112" s="8"/>
      <c r="M112" s="8"/>
      <c r="N112" s="8"/>
    </row>
    <row r="113" spans="1:14" ht="13.5" customHeight="1" x14ac:dyDescent="0.4">
      <c r="A113" s="9">
        <v>14</v>
      </c>
      <c r="B113" s="600" t="s">
        <v>85</v>
      </c>
      <c r="C113" s="601"/>
      <c r="D113" s="601"/>
      <c r="E113" s="601"/>
      <c r="F113" s="601"/>
      <c r="G113" s="602"/>
      <c r="H113" s="8"/>
      <c r="I113" s="8"/>
      <c r="J113" s="8"/>
      <c r="K113" s="8"/>
      <c r="L113" s="8"/>
      <c r="M113" s="8"/>
      <c r="N113" s="8"/>
    </row>
    <row r="114" spans="1:14" x14ac:dyDescent="0.4">
      <c r="A114" s="23"/>
      <c r="B114" s="61" t="s">
        <v>78</v>
      </c>
      <c r="C114" s="497" t="s">
        <v>41</v>
      </c>
      <c r="D114" s="497"/>
      <c r="E114" s="497"/>
      <c r="F114" s="497"/>
      <c r="G114" s="497"/>
      <c r="H114" s="8"/>
      <c r="I114" s="8"/>
      <c r="J114" s="8"/>
      <c r="K114" s="8"/>
      <c r="L114" s="8"/>
      <c r="M114" s="8"/>
      <c r="N114" s="8"/>
    </row>
    <row r="115" spans="1:14" ht="15.05" customHeight="1" x14ac:dyDescent="0.4">
      <c r="A115" s="8"/>
      <c r="B115" s="8"/>
      <c r="C115" s="8"/>
      <c r="D115" s="167"/>
      <c r="H115" s="200"/>
      <c r="I115" s="8"/>
      <c r="J115" s="8"/>
      <c r="K115" s="8"/>
      <c r="L115" s="8"/>
      <c r="M115" s="8"/>
      <c r="N115" s="8"/>
    </row>
    <row r="116" spans="1:14" ht="15.05" customHeight="1" x14ac:dyDescent="0.4">
      <c r="B116" s="538" t="s">
        <v>973</v>
      </c>
      <c r="C116" s="538"/>
      <c r="D116" s="538"/>
      <c r="E116" s="538"/>
      <c r="F116" s="538"/>
      <c r="G116" s="538"/>
    </row>
    <row r="117" spans="1:14" ht="15.05" customHeight="1" x14ac:dyDescent="0.4">
      <c r="C117" s="200"/>
    </row>
    <row r="118" spans="1:14" x14ac:dyDescent="0.4">
      <c r="B118" s="497" t="s">
        <v>1234</v>
      </c>
      <c r="C118" s="497"/>
      <c r="D118" s="497"/>
      <c r="E118" s="497"/>
      <c r="F118" s="497"/>
      <c r="G118" s="497"/>
    </row>
    <row r="120" spans="1:14" x14ac:dyDescent="0.4">
      <c r="C120" s="228"/>
    </row>
    <row r="131" spans="3:4" x14ac:dyDescent="0.4">
      <c r="C131" s="228"/>
      <c r="D131" s="228"/>
    </row>
    <row r="133" spans="3:4" x14ac:dyDescent="0.4">
      <c r="C133" s="228"/>
      <c r="D133" s="228"/>
    </row>
  </sheetData>
  <sheetProtection algorithmName="SHA-512" hashValue="SHTjGiWZUC/TivTzVN2LvFci+OV6zrwyGGiVQ8WPruihAX1fQRp6rniYfjIW4ihzgLq7WHharwyde8PzTrfoUA==" saltValue="WJg+YE7D3Kr1Q4t5c8MyeQ==" spinCount="100000" sheet="1" objects="1" scenarios="1"/>
  <mergeCells count="68">
    <mergeCell ref="B51:E51"/>
    <mergeCell ref="B32:E32"/>
    <mergeCell ref="B34:E34"/>
    <mergeCell ref="B40:E40"/>
    <mergeCell ref="C41:E41"/>
    <mergeCell ref="C42:E42"/>
    <mergeCell ref="C43:E43"/>
    <mergeCell ref="B12:E12"/>
    <mergeCell ref="C11:E11"/>
    <mergeCell ref="B44:E44"/>
    <mergeCell ref="B46:E46"/>
    <mergeCell ref="B49:E49"/>
    <mergeCell ref="A1:B1"/>
    <mergeCell ref="C5:E5"/>
    <mergeCell ref="D28:D31"/>
    <mergeCell ref="E28:E31"/>
    <mergeCell ref="B17:E17"/>
    <mergeCell ref="C18:E18"/>
    <mergeCell ref="C19:E19"/>
    <mergeCell ref="C20:E20"/>
    <mergeCell ref="C21:E21"/>
    <mergeCell ref="C22:E22"/>
    <mergeCell ref="B25:E25"/>
    <mergeCell ref="B26:E26"/>
    <mergeCell ref="C3:E3"/>
    <mergeCell ref="B6:E6"/>
    <mergeCell ref="C8:E8"/>
    <mergeCell ref="B9:E9"/>
    <mergeCell ref="C114:G114"/>
    <mergeCell ref="B73:N73"/>
    <mergeCell ref="B70:N70"/>
    <mergeCell ref="B69:N69"/>
    <mergeCell ref="C55:I55"/>
    <mergeCell ref="B56:I56"/>
    <mergeCell ref="B57:I57"/>
    <mergeCell ref="B95:B102"/>
    <mergeCell ref="B103:B110"/>
    <mergeCell ref="B71:N71"/>
    <mergeCell ref="C59:E59"/>
    <mergeCell ref="B64:B65"/>
    <mergeCell ref="C64:C65"/>
    <mergeCell ref="B72:N72"/>
    <mergeCell ref="D64:D65"/>
    <mergeCell ref="E64:E65"/>
    <mergeCell ref="B118:G118"/>
    <mergeCell ref="C14:E14"/>
    <mergeCell ref="B15:E15"/>
    <mergeCell ref="C35:E35"/>
    <mergeCell ref="C36:E36"/>
    <mergeCell ref="C37:E37"/>
    <mergeCell ref="B116:G116"/>
    <mergeCell ref="F79:F110"/>
    <mergeCell ref="G79:G110"/>
    <mergeCell ref="B111:G111"/>
    <mergeCell ref="B79:B86"/>
    <mergeCell ref="B74:N74"/>
    <mergeCell ref="B76:G76"/>
    <mergeCell ref="B87:B94"/>
    <mergeCell ref="B112:G112"/>
    <mergeCell ref="B113:G113"/>
    <mergeCell ref="I64:K64"/>
    <mergeCell ref="L64:N64"/>
    <mergeCell ref="B52:B53"/>
    <mergeCell ref="C52:I53"/>
    <mergeCell ref="C68:N68"/>
    <mergeCell ref="F64:H64"/>
    <mergeCell ref="C62:E62"/>
    <mergeCell ref="C54:I54"/>
  </mergeCells>
  <pageMargins left="0" right="0" top="0.42499999999999999" bottom="0.75" header="0.10625" footer="0.3"/>
  <pageSetup paperSize="5" scale="80" orientation="landscape" verticalDpi="1200" r:id="rId1"/>
  <rowBreaks count="2" manualBreakCount="2">
    <brk id="37" max="16383" man="1"/>
    <brk id="6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102"/>
  <sheetViews>
    <sheetView view="pageBreakPreview" zoomScale="60" zoomScaleNormal="100" zoomScalePageLayoutView="50" workbookViewId="0">
      <selection activeCell="C5" sqref="C5:G5"/>
    </sheetView>
  </sheetViews>
  <sheetFormatPr defaultRowHeight="14.6" x14ac:dyDescent="0.4"/>
  <cols>
    <col min="1" max="1" width="6.4609375" bestFit="1" customWidth="1"/>
    <col min="2" max="2" width="49.53515625" customWidth="1"/>
    <col min="3" max="3" width="19.53515625" customWidth="1"/>
    <col min="4" max="4" width="18.07421875" customWidth="1"/>
    <col min="5" max="5" width="18.69140625" customWidth="1"/>
    <col min="6" max="6" width="9.3046875" bestFit="1" customWidth="1"/>
    <col min="8" max="8" width="10" bestFit="1" customWidth="1"/>
    <col min="9" max="9" width="10.074218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978</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979</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2.7570000000000001</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605" t="s">
        <v>560</v>
      </c>
      <c r="D18" s="606"/>
      <c r="E18" s="607"/>
      <c r="F18" s="15"/>
      <c r="G18" s="13"/>
      <c r="H18" s="13"/>
      <c r="I18" s="13"/>
      <c r="J18" s="13"/>
      <c r="K18" s="13"/>
      <c r="L18" s="13"/>
      <c r="M18" s="13"/>
      <c r="N18" s="13"/>
    </row>
    <row r="19" spans="1:14" ht="42" customHeight="1" x14ac:dyDescent="0.4">
      <c r="A19" s="9"/>
      <c r="B19" s="14" t="s">
        <v>1080</v>
      </c>
      <c r="C19" s="605" t="s">
        <v>560</v>
      </c>
      <c r="D19" s="606"/>
      <c r="E19" s="607"/>
      <c r="F19" s="15"/>
      <c r="G19" s="13" t="s">
        <v>693</v>
      </c>
      <c r="H19" s="8"/>
      <c r="I19" s="13"/>
      <c r="J19" s="13"/>
      <c r="K19" s="13"/>
      <c r="L19" s="13"/>
      <c r="M19" s="13"/>
      <c r="N19" s="13"/>
    </row>
    <row r="20" spans="1:14" x14ac:dyDescent="0.4">
      <c r="A20" s="9"/>
      <c r="B20" s="14" t="s">
        <v>605</v>
      </c>
      <c r="C20" s="373" t="s">
        <v>560</v>
      </c>
      <c r="D20" s="374"/>
      <c r="E20" s="375"/>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298">
        <v>3629.62</v>
      </c>
      <c r="D27" s="592" t="s">
        <v>264</v>
      </c>
      <c r="E27" s="540" t="s">
        <v>203</v>
      </c>
      <c r="F27" s="15"/>
      <c r="G27" s="8"/>
      <c r="H27" s="8"/>
      <c r="I27" s="8"/>
      <c r="J27" s="8"/>
      <c r="K27" s="8"/>
      <c r="L27" s="8"/>
      <c r="M27" s="8"/>
      <c r="N27" s="8"/>
    </row>
    <row r="28" spans="1:14" x14ac:dyDescent="0.4">
      <c r="A28" s="9"/>
      <c r="B28" s="19" t="s">
        <v>25</v>
      </c>
      <c r="C28" s="298">
        <v>1067.3599999999999</v>
      </c>
      <c r="D28" s="593"/>
      <c r="E28" s="541"/>
      <c r="F28" s="15"/>
      <c r="G28" s="8"/>
      <c r="H28" s="8"/>
      <c r="I28" s="8"/>
      <c r="J28" s="8"/>
      <c r="K28" s="8"/>
      <c r="L28" s="8"/>
      <c r="M28" s="8"/>
      <c r="N28" s="8"/>
    </row>
    <row r="29" spans="1:14" x14ac:dyDescent="0.4">
      <c r="A29" s="9"/>
      <c r="B29" s="19" t="s">
        <v>26</v>
      </c>
      <c r="C29" s="298">
        <v>1027.2</v>
      </c>
      <c r="D29" s="593"/>
      <c r="E29" s="541"/>
      <c r="F29" s="15"/>
      <c r="G29" s="8"/>
      <c r="H29" s="8"/>
      <c r="I29" s="8"/>
      <c r="J29" s="8"/>
      <c r="K29" s="8"/>
      <c r="L29" s="8"/>
      <c r="M29" s="8"/>
      <c r="N29" s="8"/>
    </row>
    <row r="30" spans="1:14" x14ac:dyDescent="0.4">
      <c r="A30" s="9"/>
      <c r="B30" s="19" t="s">
        <v>27</v>
      </c>
      <c r="C30" s="298">
        <v>4066.49</v>
      </c>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30</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c r="B38" s="15"/>
      <c r="C38" s="13"/>
      <c r="D38" s="169"/>
      <c r="E38" s="13"/>
      <c r="F38" s="13"/>
      <c r="G38" s="8"/>
      <c r="H38" s="8"/>
      <c r="I38" s="8"/>
      <c r="J38" s="8"/>
      <c r="K38" s="8"/>
      <c r="L38" s="8"/>
      <c r="M38" s="8"/>
      <c r="N38" s="8"/>
    </row>
    <row r="39" spans="1:14" x14ac:dyDescent="0.4">
      <c r="A39" s="9">
        <v>8</v>
      </c>
      <c r="B39" s="365" t="s">
        <v>1084</v>
      </c>
      <c r="C39" s="365"/>
      <c r="D39" s="365"/>
      <c r="E39" s="365"/>
      <c r="F39" s="11"/>
      <c r="G39" s="11"/>
      <c r="H39" s="11"/>
      <c r="I39" s="11"/>
      <c r="J39" s="11"/>
      <c r="K39" s="8"/>
      <c r="L39" s="8"/>
      <c r="M39" s="8"/>
      <c r="N39" s="8"/>
    </row>
    <row r="40" spans="1:14" ht="15.05" customHeight="1" x14ac:dyDescent="0.4">
      <c r="A40" s="9"/>
      <c r="B40" s="17" t="s">
        <v>34</v>
      </c>
      <c r="C40" s="373" t="s">
        <v>730</v>
      </c>
      <c r="D40" s="374"/>
      <c r="E40" s="375"/>
      <c r="F40" s="13"/>
      <c r="G40" s="8"/>
      <c r="H40" s="8"/>
      <c r="I40" s="8"/>
      <c r="J40" s="8"/>
      <c r="K40" s="8"/>
      <c r="L40" s="8"/>
      <c r="M40" s="8"/>
      <c r="N40" s="8"/>
    </row>
    <row r="41" spans="1:14" x14ac:dyDescent="0.4">
      <c r="A41" s="9"/>
      <c r="B41" s="17" t="s">
        <v>31</v>
      </c>
      <c r="C41" s="373" t="s">
        <v>320</v>
      </c>
      <c r="D41" s="374"/>
      <c r="E41" s="375"/>
      <c r="F41" s="13"/>
      <c r="G41" s="8"/>
      <c r="H41" s="8"/>
      <c r="I41" s="8"/>
      <c r="J41" s="8"/>
      <c r="K41" s="8"/>
      <c r="L41" s="8"/>
      <c r="M41" s="8"/>
      <c r="N41" s="8"/>
    </row>
    <row r="42" spans="1:14" x14ac:dyDescent="0.4">
      <c r="A42" s="9"/>
      <c r="B42" s="17" t="s">
        <v>32</v>
      </c>
      <c r="C42" s="446" t="s">
        <v>201</v>
      </c>
      <c r="D42" s="446"/>
      <c r="E42" s="446"/>
      <c r="F42" s="13"/>
      <c r="G42" s="8"/>
      <c r="H42" s="8"/>
      <c r="I42" s="8"/>
      <c r="J42" s="8"/>
      <c r="K42" s="8"/>
      <c r="L42" s="8"/>
      <c r="M42" s="8"/>
      <c r="N42" s="8"/>
    </row>
    <row r="43" spans="1:14" x14ac:dyDescent="0.4">
      <c r="A43" s="9"/>
      <c r="B43" s="363" t="s">
        <v>848</v>
      </c>
      <c r="C43" s="368"/>
      <c r="D43" s="368"/>
      <c r="E43" s="369"/>
      <c r="F43" s="13"/>
      <c r="G43" s="8"/>
      <c r="H43" s="8"/>
      <c r="I43" s="8"/>
      <c r="J43" s="8"/>
      <c r="K43" s="8"/>
      <c r="L43" s="8"/>
      <c r="M43" s="8"/>
      <c r="N43" s="8"/>
    </row>
    <row r="44" spans="1:14" x14ac:dyDescent="0.4">
      <c r="A44" s="2"/>
      <c r="B44" s="8"/>
      <c r="C44" s="8"/>
      <c r="D44" s="173"/>
      <c r="E44" s="13"/>
      <c r="F44" s="8"/>
      <c r="G44" s="8"/>
      <c r="H44" s="8"/>
      <c r="I44" s="8"/>
      <c r="J44" s="8"/>
      <c r="K44" s="8"/>
      <c r="L44" s="8"/>
      <c r="M44" s="8"/>
      <c r="N44" s="8"/>
    </row>
    <row r="45" spans="1:14" x14ac:dyDescent="0.4">
      <c r="A45" s="24">
        <v>9</v>
      </c>
      <c r="B45" s="376" t="s">
        <v>1085</v>
      </c>
      <c r="C45" s="365"/>
      <c r="D45" s="365"/>
      <c r="E45" s="365"/>
      <c r="F45" s="25"/>
      <c r="G45" s="11"/>
      <c r="H45" s="11"/>
      <c r="I45" s="11"/>
      <c r="J45" s="8"/>
      <c r="K45" s="8"/>
      <c r="L45" s="8"/>
      <c r="M45" s="8"/>
      <c r="N45" s="8"/>
    </row>
    <row r="46" spans="1:14" ht="38.450000000000003" x14ac:dyDescent="0.4">
      <c r="A46" s="24"/>
      <c r="B46" s="26" t="s">
        <v>37</v>
      </c>
      <c r="C46" s="27" t="s">
        <v>38</v>
      </c>
      <c r="D46" s="174" t="s">
        <v>39</v>
      </c>
      <c r="E46" s="27" t="s">
        <v>206</v>
      </c>
      <c r="F46" s="8"/>
      <c r="G46" s="8"/>
      <c r="H46" s="8"/>
      <c r="I46" s="8"/>
      <c r="J46" s="8"/>
      <c r="K46" s="8"/>
      <c r="L46" s="8"/>
      <c r="M46" s="8"/>
      <c r="N46" s="8"/>
    </row>
    <row r="47" spans="1:14" ht="238.55" x14ac:dyDescent="0.4">
      <c r="A47" s="29"/>
      <c r="B47" s="78" t="s">
        <v>980</v>
      </c>
      <c r="C47" s="216" t="s">
        <v>981</v>
      </c>
      <c r="D47" s="216" t="s">
        <v>1266</v>
      </c>
      <c r="E47" s="117" t="s">
        <v>186</v>
      </c>
      <c r="F47" s="8"/>
      <c r="G47" s="8"/>
      <c r="H47" s="8"/>
      <c r="I47" s="8"/>
      <c r="J47" s="8"/>
      <c r="K47" s="8"/>
      <c r="L47" s="8"/>
      <c r="M47" s="8"/>
      <c r="N47" s="8"/>
    </row>
    <row r="48" spans="1:14" x14ac:dyDescent="0.4">
      <c r="A48" s="31"/>
      <c r="B48" s="380" t="s">
        <v>982</v>
      </c>
      <c r="C48" s="381"/>
      <c r="D48" s="381"/>
      <c r="E48" s="382"/>
      <c r="F48" s="15"/>
      <c r="G48" s="15"/>
      <c r="H48" s="15"/>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21.75" customHeight="1" x14ac:dyDescent="0.4">
      <c r="A51" s="29"/>
      <c r="B51" s="383" t="s">
        <v>43</v>
      </c>
      <c r="C51" s="581" t="s">
        <v>983</v>
      </c>
      <c r="D51" s="582"/>
      <c r="E51" s="583"/>
      <c r="F51" s="8"/>
      <c r="G51" s="8"/>
      <c r="H51" s="8"/>
      <c r="I51" s="8"/>
      <c r="J51" s="8"/>
      <c r="K51" s="1"/>
      <c r="L51" s="8"/>
      <c r="M51" s="8"/>
      <c r="N51" s="8"/>
    </row>
    <row r="52" spans="1:14" ht="83.3" customHeight="1" x14ac:dyDescent="0.4">
      <c r="A52" s="29"/>
      <c r="B52" s="384"/>
      <c r="C52" s="584"/>
      <c r="D52" s="585"/>
      <c r="E52" s="586"/>
      <c r="F52" s="8"/>
      <c r="G52" s="8"/>
      <c r="H52" s="8"/>
      <c r="I52" s="8"/>
      <c r="J52" s="8"/>
      <c r="K52" s="1"/>
      <c r="L52" s="8"/>
      <c r="M52" s="8"/>
      <c r="N52" s="8"/>
    </row>
    <row r="53" spans="1:14" ht="104.35" customHeight="1" x14ac:dyDescent="0.4">
      <c r="A53" s="24"/>
      <c r="B53" s="33" t="s">
        <v>44</v>
      </c>
      <c r="C53" s="391" t="s">
        <v>1267</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x14ac:dyDescent="0.4">
      <c r="A55" s="29"/>
      <c r="B55" s="480" t="s">
        <v>982</v>
      </c>
      <c r="C55" s="480"/>
      <c r="D55" s="480"/>
      <c r="E55" s="480"/>
      <c r="F55" s="8"/>
      <c r="G55" s="8"/>
      <c r="H55" s="8"/>
      <c r="I55" s="8"/>
      <c r="J55" s="8"/>
      <c r="K55" s="34"/>
      <c r="L55" s="8"/>
      <c r="M55" s="8"/>
      <c r="N55" s="8"/>
    </row>
    <row r="56" spans="1:14" x14ac:dyDescent="0.4">
      <c r="A56" s="35" t="s">
        <v>47</v>
      </c>
      <c r="B56" s="392" t="s">
        <v>48</v>
      </c>
      <c r="C56" s="392"/>
      <c r="D56" s="392"/>
      <c r="E56" s="392"/>
      <c r="F56" s="63"/>
      <c r="G56" s="63"/>
      <c r="H56" s="63"/>
      <c r="I56" s="63"/>
      <c r="J56" s="63"/>
      <c r="K56" s="63"/>
      <c r="L56" s="63"/>
      <c r="M56" s="63"/>
      <c r="N56" s="63"/>
    </row>
    <row r="57" spans="1:14" x14ac:dyDescent="0.4">
      <c r="A57" s="40"/>
      <c r="B57" s="41"/>
      <c r="C57" s="42"/>
      <c r="D57" s="175"/>
      <c r="E57" s="42"/>
      <c r="F57" s="42"/>
      <c r="G57" s="8"/>
      <c r="H57" s="8"/>
      <c r="I57" s="8"/>
      <c r="J57" s="8"/>
      <c r="K57" s="8"/>
      <c r="L57" s="8"/>
      <c r="M57" s="8"/>
      <c r="N57" s="8"/>
    </row>
    <row r="58" spans="1:14" x14ac:dyDescent="0.4">
      <c r="A58" s="9">
        <v>11</v>
      </c>
      <c r="B58" s="3" t="s">
        <v>49</v>
      </c>
      <c r="C58" s="580" t="s">
        <v>851</v>
      </c>
      <c r="D58" s="580"/>
      <c r="E58" s="580"/>
      <c r="F58" s="11"/>
      <c r="G58" s="11"/>
      <c r="H58" s="43"/>
      <c r="I58" s="11"/>
      <c r="J58" s="11"/>
      <c r="K58" s="8"/>
      <c r="L58" s="8"/>
      <c r="M58" s="8"/>
      <c r="N58" s="8"/>
    </row>
    <row r="59" spans="1:14" x14ac:dyDescent="0.4">
      <c r="A59" s="9"/>
      <c r="B59" s="15"/>
      <c r="C59" s="15"/>
      <c r="D59" s="170"/>
      <c r="E59" s="15"/>
      <c r="F59" s="15"/>
      <c r="G59" s="15"/>
      <c r="H59" s="44"/>
      <c r="I59" s="44"/>
      <c r="J59" s="15"/>
      <c r="K59" s="8"/>
      <c r="L59" s="8"/>
      <c r="M59" s="8"/>
      <c r="N59" s="8"/>
    </row>
    <row r="60" spans="1:14" x14ac:dyDescent="0.4">
      <c r="A60" s="9">
        <v>12</v>
      </c>
      <c r="B60" s="11" t="s">
        <v>51</v>
      </c>
      <c r="C60" s="11"/>
      <c r="D60" s="176"/>
      <c r="E60" s="43"/>
      <c r="F60" s="43"/>
      <c r="G60" s="11"/>
      <c r="H60" s="11"/>
      <c r="I60" s="11"/>
      <c r="J60" s="11"/>
      <c r="K60" s="11"/>
      <c r="L60" s="11"/>
      <c r="M60" s="11"/>
      <c r="N60" s="11"/>
    </row>
    <row r="61" spans="1:14" x14ac:dyDescent="0.4">
      <c r="A61" s="9"/>
      <c r="B61" s="11"/>
      <c r="C61" s="11"/>
      <c r="D61" s="176"/>
      <c r="E61" s="43"/>
      <c r="F61" s="43"/>
      <c r="G61" s="43"/>
      <c r="H61" s="11"/>
      <c r="I61" s="11"/>
      <c r="J61" s="11"/>
      <c r="K61" s="11"/>
      <c r="L61" s="11"/>
      <c r="M61" s="11"/>
      <c r="N61" s="11"/>
    </row>
    <row r="62" spans="1:14" x14ac:dyDescent="0.4">
      <c r="A62" s="9"/>
      <c r="B62" s="17" t="s">
        <v>52</v>
      </c>
      <c r="C62" s="446" t="s">
        <v>984</v>
      </c>
      <c r="D62" s="446"/>
      <c r="E62" s="446"/>
      <c r="F62" s="44"/>
      <c r="G62" s="44"/>
      <c r="H62" s="118"/>
      <c r="I62" s="15"/>
      <c r="J62" s="15"/>
      <c r="K62" s="15"/>
      <c r="L62" s="15"/>
      <c r="M62" s="15"/>
      <c r="N62" s="15"/>
    </row>
    <row r="63" spans="1:14" x14ac:dyDescent="0.4">
      <c r="A63" s="9"/>
      <c r="B63" s="15"/>
      <c r="C63" s="15"/>
      <c r="D63" s="236"/>
      <c r="E63" s="118"/>
      <c r="F63" s="15"/>
      <c r="G63" s="15"/>
      <c r="H63" s="118"/>
      <c r="I63" s="118"/>
      <c r="J63" s="15"/>
      <c r="K63" s="15"/>
      <c r="L63" s="15"/>
      <c r="M63" s="15"/>
      <c r="N63" s="15"/>
    </row>
    <row r="64" spans="1:14" x14ac:dyDescent="0.4">
      <c r="A64" s="9"/>
      <c r="B64" s="365" t="s">
        <v>53</v>
      </c>
      <c r="C64" s="366" t="s">
        <v>985</v>
      </c>
      <c r="D64" s="558" t="s">
        <v>271</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84</v>
      </c>
      <c r="D66" s="101">
        <v>109</v>
      </c>
      <c r="E66" s="101">
        <v>153.5</v>
      </c>
      <c r="F66" s="101">
        <v>139</v>
      </c>
      <c r="G66" s="101">
        <v>186.7</v>
      </c>
      <c r="H66" s="101">
        <v>80</v>
      </c>
      <c r="I66" s="45" t="s">
        <v>41</v>
      </c>
      <c r="J66" s="45" t="s">
        <v>41</v>
      </c>
      <c r="K66" s="45" t="s">
        <v>41</v>
      </c>
      <c r="L66" s="45" t="s">
        <v>41</v>
      </c>
      <c r="M66" s="45" t="s">
        <v>41</v>
      </c>
      <c r="N66" s="45" t="s">
        <v>41</v>
      </c>
    </row>
    <row r="67" spans="1:14" x14ac:dyDescent="0.4">
      <c r="A67" s="2"/>
      <c r="B67" s="17" t="s">
        <v>216</v>
      </c>
      <c r="C67" s="284">
        <v>57991.11</v>
      </c>
      <c r="D67" s="287">
        <v>61033.55</v>
      </c>
      <c r="E67" s="101">
        <v>60747.31</v>
      </c>
      <c r="F67" s="101">
        <v>58991.519999999997</v>
      </c>
      <c r="G67" s="101">
        <v>63583.07</v>
      </c>
      <c r="H67" s="101">
        <v>57050.400000000001</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s="8" customFormat="1" ht="13.25" x14ac:dyDescent="0.4">
      <c r="A69" s="2"/>
      <c r="B69" s="399" t="s">
        <v>1102</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1127</v>
      </c>
      <c r="E78" s="18" t="s">
        <v>218</v>
      </c>
      <c r="F78" s="18" t="s">
        <v>71</v>
      </c>
      <c r="G78" s="18" t="s">
        <v>107</v>
      </c>
      <c r="H78" s="13"/>
      <c r="I78" s="13"/>
      <c r="J78" s="13"/>
      <c r="K78" s="13"/>
      <c r="L78" s="13"/>
      <c r="M78" s="13"/>
      <c r="N78" s="13"/>
    </row>
    <row r="79" spans="1:14" ht="25.55" customHeight="1" x14ac:dyDescent="0.4">
      <c r="A79" s="2"/>
      <c r="B79" s="411" t="s">
        <v>1271</v>
      </c>
      <c r="C79" s="207" t="s">
        <v>986</v>
      </c>
      <c r="D79" s="55">
        <v>12.48</v>
      </c>
      <c r="E79" s="52">
        <v>12.06</v>
      </c>
      <c r="F79" s="435" t="s">
        <v>326</v>
      </c>
      <c r="G79" s="435" t="s">
        <v>220</v>
      </c>
      <c r="H79" s="53"/>
      <c r="I79" s="53"/>
      <c r="J79" s="53"/>
      <c r="K79" s="53"/>
      <c r="L79" s="53"/>
      <c r="M79" s="53"/>
      <c r="N79" s="53"/>
    </row>
    <row r="80" spans="1:14" x14ac:dyDescent="0.4">
      <c r="A80" s="2"/>
      <c r="B80" s="533"/>
      <c r="C80" s="207" t="s">
        <v>987</v>
      </c>
      <c r="D80" s="287" t="s">
        <v>1077</v>
      </c>
      <c r="E80" s="287" t="s">
        <v>1077</v>
      </c>
      <c r="F80" s="436"/>
      <c r="G80" s="436"/>
      <c r="H80" s="53"/>
      <c r="I80" s="53"/>
      <c r="J80" s="53"/>
      <c r="K80" s="53"/>
      <c r="L80" s="53"/>
      <c r="M80" s="53"/>
      <c r="N80" s="53"/>
    </row>
    <row r="81" spans="1:14" x14ac:dyDescent="0.4">
      <c r="A81" s="2"/>
      <c r="B81" s="534"/>
      <c r="C81" s="207" t="s">
        <v>74</v>
      </c>
      <c r="D81" s="55">
        <v>0</v>
      </c>
      <c r="E81" s="55">
        <v>0</v>
      </c>
      <c r="F81" s="436"/>
      <c r="G81" s="436"/>
      <c r="H81" s="53"/>
      <c r="I81" s="53"/>
      <c r="J81" s="53"/>
      <c r="K81" s="53"/>
      <c r="L81" s="53"/>
      <c r="M81" s="53"/>
      <c r="N81" s="53"/>
    </row>
    <row r="82" spans="1:14" ht="25.65" x14ac:dyDescent="0.4">
      <c r="A82" s="2"/>
      <c r="B82" s="411" t="s">
        <v>75</v>
      </c>
      <c r="C82" s="207" t="s">
        <v>986</v>
      </c>
      <c r="D82" s="287">
        <v>6.25</v>
      </c>
      <c r="E82" s="55">
        <f>F66/E79</f>
        <v>11.525704809286898</v>
      </c>
      <c r="F82" s="436"/>
      <c r="G82" s="436"/>
      <c r="H82" s="53"/>
      <c r="I82" s="53"/>
      <c r="J82" s="53"/>
      <c r="K82" s="53"/>
      <c r="L82" s="53"/>
      <c r="M82" s="53"/>
      <c r="N82" s="53"/>
    </row>
    <row r="83" spans="1:14" x14ac:dyDescent="0.4">
      <c r="A83" s="2"/>
      <c r="B83" s="533"/>
      <c r="C83" s="207" t="s">
        <v>987</v>
      </c>
      <c r="D83" s="287" t="s">
        <v>1077</v>
      </c>
      <c r="E83" s="287" t="s">
        <v>1077</v>
      </c>
      <c r="F83" s="436"/>
      <c r="G83" s="436"/>
      <c r="H83" s="53"/>
      <c r="I83" s="53"/>
      <c r="J83" s="53"/>
      <c r="K83" s="53"/>
      <c r="L83" s="53"/>
      <c r="M83" s="53"/>
      <c r="N83" s="53"/>
    </row>
    <row r="84" spans="1:14" x14ac:dyDescent="0.4">
      <c r="A84" s="2"/>
      <c r="B84" s="534"/>
      <c r="C84" s="207" t="s">
        <v>74</v>
      </c>
      <c r="D84" s="55">
        <v>0</v>
      </c>
      <c r="E84" s="55">
        <v>0</v>
      </c>
      <c r="F84" s="436"/>
      <c r="G84" s="436"/>
      <c r="H84" s="53"/>
      <c r="I84" s="53"/>
      <c r="J84" s="53"/>
      <c r="K84" s="53"/>
      <c r="L84" s="53"/>
      <c r="M84" s="53"/>
      <c r="N84" s="53"/>
    </row>
    <row r="85" spans="1:14" ht="25.65" x14ac:dyDescent="0.4">
      <c r="A85" s="2"/>
      <c r="B85" s="411" t="s">
        <v>76</v>
      </c>
      <c r="C85" s="207" t="s">
        <v>986</v>
      </c>
      <c r="D85" s="55">
        <v>43.95</v>
      </c>
      <c r="E85" s="56">
        <f>1067.36/5093.69</f>
        <v>0.20954553575109597</v>
      </c>
      <c r="F85" s="436"/>
      <c r="G85" s="436"/>
      <c r="H85" s="53"/>
      <c r="I85" s="53"/>
      <c r="J85" s="53"/>
      <c r="K85" s="53"/>
      <c r="L85" s="53"/>
      <c r="M85" s="53"/>
      <c r="N85" s="53"/>
    </row>
    <row r="86" spans="1:14" x14ac:dyDescent="0.4">
      <c r="A86" s="2"/>
      <c r="B86" s="533"/>
      <c r="C86" s="207" t="s">
        <v>987</v>
      </c>
      <c r="D86" s="287" t="s">
        <v>1077</v>
      </c>
      <c r="E86" s="287" t="s">
        <v>1077</v>
      </c>
      <c r="F86" s="436"/>
      <c r="G86" s="436"/>
      <c r="H86" s="53"/>
      <c r="I86" s="53"/>
      <c r="J86" s="53"/>
      <c r="K86" s="53"/>
      <c r="L86" s="53"/>
      <c r="M86" s="53"/>
      <c r="N86" s="53"/>
    </row>
    <row r="87" spans="1:14" x14ac:dyDescent="0.4">
      <c r="A87" s="2"/>
      <c r="B87" s="534"/>
      <c r="C87" s="207" t="s">
        <v>74</v>
      </c>
      <c r="D87" s="55">
        <v>0</v>
      </c>
      <c r="E87" s="55">
        <v>0</v>
      </c>
      <c r="F87" s="436"/>
      <c r="G87" s="436"/>
      <c r="H87" s="53"/>
      <c r="I87" s="53"/>
      <c r="J87" s="53"/>
      <c r="K87" s="53"/>
      <c r="L87" s="53"/>
      <c r="M87" s="53"/>
      <c r="N87" s="53"/>
    </row>
    <row r="88" spans="1:14" ht="25.65" x14ac:dyDescent="0.4">
      <c r="A88" s="2"/>
      <c r="B88" s="603" t="s">
        <v>77</v>
      </c>
      <c r="C88" s="207" t="s">
        <v>986</v>
      </c>
      <c r="D88" s="287">
        <v>28.4</v>
      </c>
      <c r="E88" s="55">
        <f>5093.69/102.72</f>
        <v>49.588103582554517</v>
      </c>
      <c r="F88" s="436"/>
      <c r="G88" s="436"/>
      <c r="H88" s="53"/>
      <c r="I88" s="53"/>
      <c r="J88" s="53"/>
      <c r="K88" s="53"/>
      <c r="L88" s="53"/>
      <c r="M88" s="53"/>
      <c r="N88" s="53"/>
    </row>
    <row r="89" spans="1:14" x14ac:dyDescent="0.4">
      <c r="A89" s="2"/>
      <c r="B89" s="604"/>
      <c r="C89" s="207" t="s">
        <v>987</v>
      </c>
      <c r="D89" s="287" t="s">
        <v>1077</v>
      </c>
      <c r="E89" s="287" t="s">
        <v>1077</v>
      </c>
      <c r="F89" s="436"/>
      <c r="G89" s="436"/>
      <c r="H89" s="53"/>
      <c r="I89" s="53"/>
      <c r="J89" s="53"/>
      <c r="K89" s="53"/>
      <c r="L89" s="53"/>
      <c r="M89" s="53"/>
      <c r="N89" s="53"/>
    </row>
    <row r="90" spans="1:14" ht="15.05" customHeight="1" x14ac:dyDescent="0.4">
      <c r="A90" s="2"/>
      <c r="B90" s="604"/>
      <c r="C90" s="3" t="s">
        <v>74</v>
      </c>
      <c r="D90" s="55">
        <v>0</v>
      </c>
      <c r="E90" s="55">
        <v>0</v>
      </c>
      <c r="F90" s="547"/>
      <c r="G90" s="547"/>
      <c r="H90" s="53"/>
      <c r="I90" s="53"/>
      <c r="J90" s="53"/>
      <c r="K90" s="53"/>
      <c r="L90" s="53"/>
      <c r="M90" s="53"/>
      <c r="N90" s="53"/>
    </row>
    <row r="91" spans="1:14" ht="15.8" customHeight="1" x14ac:dyDescent="0.4">
      <c r="A91" s="8"/>
      <c r="B91" s="608" t="s">
        <v>988</v>
      </c>
      <c r="C91" s="609"/>
      <c r="D91" s="609"/>
      <c r="E91" s="609"/>
      <c r="F91" s="609"/>
      <c r="G91" s="610"/>
      <c r="H91" s="53"/>
      <c r="I91" s="53"/>
      <c r="J91" s="8"/>
      <c r="K91" s="8"/>
      <c r="L91" s="8"/>
      <c r="M91" s="8"/>
      <c r="N91" s="8"/>
    </row>
    <row r="92" spans="1:14" ht="26.3" customHeight="1" x14ac:dyDescent="0.4">
      <c r="A92" s="9">
        <v>14</v>
      </c>
      <c r="B92" s="611" t="s">
        <v>989</v>
      </c>
      <c r="C92" s="612"/>
      <c r="D92" s="612"/>
      <c r="E92" s="612"/>
      <c r="F92" s="612"/>
      <c r="G92" s="613"/>
      <c r="H92" s="8"/>
      <c r="I92" s="8"/>
      <c r="J92" s="8"/>
      <c r="K92" s="8"/>
      <c r="L92" s="8"/>
      <c r="M92" s="8"/>
      <c r="N92" s="8"/>
    </row>
    <row r="93" spans="1:14" x14ac:dyDescent="0.4">
      <c r="A93" s="23"/>
      <c r="B93" s="61" t="s">
        <v>78</v>
      </c>
      <c r="C93" s="497" t="s">
        <v>41</v>
      </c>
      <c r="D93" s="497"/>
      <c r="E93" s="497"/>
      <c r="F93" s="497"/>
      <c r="G93" s="497"/>
      <c r="H93" s="8"/>
      <c r="I93" s="8"/>
      <c r="J93" s="8"/>
      <c r="K93" s="8"/>
      <c r="L93" s="8"/>
      <c r="M93" s="8"/>
      <c r="N93" s="8"/>
    </row>
    <row r="94" spans="1:14" x14ac:dyDescent="0.4">
      <c r="A94" s="8"/>
      <c r="B94" s="8"/>
      <c r="C94" s="10"/>
      <c r="D94" s="208"/>
      <c r="E94" s="200"/>
      <c r="F94" s="200"/>
      <c r="G94" s="200"/>
      <c r="H94" s="8"/>
      <c r="I94" s="8"/>
      <c r="J94" s="8"/>
      <c r="K94" s="8"/>
      <c r="L94" s="8"/>
      <c r="M94" s="8"/>
      <c r="N94" s="8"/>
    </row>
    <row r="95" spans="1:14" x14ac:dyDescent="0.4">
      <c r="A95" s="8"/>
      <c r="B95" s="8"/>
      <c r="C95" s="8"/>
      <c r="D95" s="208"/>
      <c r="H95" s="8"/>
      <c r="I95" s="8"/>
      <c r="J95" s="8"/>
      <c r="K95" s="8"/>
      <c r="L95" s="8"/>
      <c r="M95" s="8"/>
      <c r="N95" s="8"/>
    </row>
    <row r="96" spans="1:14" ht="15.05" customHeight="1" x14ac:dyDescent="0.4">
      <c r="A96" s="8"/>
      <c r="B96" s="8"/>
      <c r="C96" s="8"/>
      <c r="D96" s="167"/>
      <c r="H96" s="200"/>
      <c r="I96" s="8"/>
      <c r="J96" s="8"/>
      <c r="K96" s="8"/>
      <c r="L96" s="8"/>
      <c r="M96" s="8"/>
      <c r="N96" s="8"/>
    </row>
    <row r="97" spans="2:7" ht="15.05" customHeight="1" x14ac:dyDescent="0.4">
      <c r="B97" s="538" t="s">
        <v>990</v>
      </c>
      <c r="C97" s="538"/>
      <c r="D97" s="538"/>
      <c r="E97" s="538"/>
      <c r="F97" s="538"/>
      <c r="G97" s="538"/>
    </row>
    <row r="98" spans="2:7" ht="15.05" customHeight="1" x14ac:dyDescent="0.4">
      <c r="C98" s="200"/>
    </row>
    <row r="99" spans="2:7" ht="25.55" customHeight="1" x14ac:dyDescent="0.4">
      <c r="B99" s="497" t="s">
        <v>1234</v>
      </c>
      <c r="C99" s="497"/>
      <c r="D99" s="497"/>
      <c r="E99" s="497"/>
      <c r="F99" s="497"/>
      <c r="G99" s="497"/>
    </row>
    <row r="100" spans="2:7" x14ac:dyDescent="0.4">
      <c r="C100" s="238"/>
    </row>
    <row r="101" spans="2:7" x14ac:dyDescent="0.4">
      <c r="C101" s="228"/>
      <c r="D101" s="228"/>
    </row>
    <row r="102" spans="2:7" x14ac:dyDescent="0.4">
      <c r="C102" s="228"/>
    </row>
  </sheetData>
  <sheetProtection algorithmName="SHA-512" hashValue="JeWP+as+VfzOCnCMvZonTGP1LsYT/rRwnPb3TVpntDVgOrvKcUg+dJuW8ueEWld2IWzApK51IygeT0UE98WSdg==" saltValue="c2eZLWZKNVC3BYPHi+J9dQ==" spinCount="100000" sheet="1" objects="1" scenarios="1"/>
  <mergeCells count="67">
    <mergeCell ref="B12:E12"/>
    <mergeCell ref="C14:E14"/>
    <mergeCell ref="C11:E11"/>
    <mergeCell ref="A1:B1"/>
    <mergeCell ref="C5:E5"/>
    <mergeCell ref="C3:E3"/>
    <mergeCell ref="B6:E6"/>
    <mergeCell ref="C8:E8"/>
    <mergeCell ref="B9:E9"/>
    <mergeCell ref="D27:D30"/>
    <mergeCell ref="E27:E30"/>
    <mergeCell ref="B17:E17"/>
    <mergeCell ref="C18:E18"/>
    <mergeCell ref="C19:E19"/>
    <mergeCell ref="C20:E20"/>
    <mergeCell ref="C21:E21"/>
    <mergeCell ref="C22:E22"/>
    <mergeCell ref="B24:E24"/>
    <mergeCell ref="B25:E25"/>
    <mergeCell ref="B51:B52"/>
    <mergeCell ref="C51:E52"/>
    <mergeCell ref="B31:E31"/>
    <mergeCell ref="B33:E33"/>
    <mergeCell ref="B39:E39"/>
    <mergeCell ref="C40:E40"/>
    <mergeCell ref="C41:E41"/>
    <mergeCell ref="C42:E42"/>
    <mergeCell ref="B43:E43"/>
    <mergeCell ref="B45:E45"/>
    <mergeCell ref="B48:E48"/>
    <mergeCell ref="B50:E50"/>
    <mergeCell ref="I64:K64"/>
    <mergeCell ref="L64:N64"/>
    <mergeCell ref="B70:N70"/>
    <mergeCell ref="B71:N71"/>
    <mergeCell ref="C68:N68"/>
    <mergeCell ref="B64:B65"/>
    <mergeCell ref="C64:C65"/>
    <mergeCell ref="D64:D65"/>
    <mergeCell ref="E64:E65"/>
    <mergeCell ref="F64:H64"/>
    <mergeCell ref="B69:N69"/>
    <mergeCell ref="G79:G90"/>
    <mergeCell ref="B82:B84"/>
    <mergeCell ref="B85:B87"/>
    <mergeCell ref="B88:B90"/>
    <mergeCell ref="C53:E53"/>
    <mergeCell ref="C54:E54"/>
    <mergeCell ref="B55:E55"/>
    <mergeCell ref="B56:E56"/>
    <mergeCell ref="C58:E58"/>
    <mergeCell ref="B99:G99"/>
    <mergeCell ref="C93:G93"/>
    <mergeCell ref="C62:E62"/>
    <mergeCell ref="B15:E15"/>
    <mergeCell ref="C34:E34"/>
    <mergeCell ref="C35:E35"/>
    <mergeCell ref="C36:E36"/>
    <mergeCell ref="B72:N72"/>
    <mergeCell ref="B91:G91"/>
    <mergeCell ref="B92:G92"/>
    <mergeCell ref="B97:G97"/>
    <mergeCell ref="B73:N73"/>
    <mergeCell ref="B74:N74"/>
    <mergeCell ref="B76:G76"/>
    <mergeCell ref="B79:B81"/>
    <mergeCell ref="F79:F90"/>
  </mergeCells>
  <pageMargins left="0" right="0" top="0.42499999999999999" bottom="0.75" header="0.10625" footer="0.3"/>
  <pageSetup paperSize="5" scale="73" orientation="landscape" verticalDpi="300" r:id="rId1"/>
  <rowBreaks count="2" manualBreakCount="2">
    <brk id="36" max="13" man="1"/>
    <brk id="56"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119"/>
  <sheetViews>
    <sheetView view="pageBreakPreview" topLeftCell="A42" zoomScale="60" zoomScaleNormal="100" zoomScalePageLayoutView="50" workbookViewId="0">
      <selection activeCell="C5" sqref="C5:G5"/>
    </sheetView>
  </sheetViews>
  <sheetFormatPr defaultColWidth="8.84375" defaultRowHeight="13.25" x14ac:dyDescent="0.4"/>
  <cols>
    <col min="1" max="1" width="8.84375" style="8"/>
    <col min="2" max="2" width="40.84375" style="8" customWidth="1"/>
    <col min="3" max="3" width="29.3046875" style="8" customWidth="1"/>
    <col min="4" max="4" width="19.3046875" style="8" customWidth="1"/>
    <col min="5" max="5" width="22.3046875" style="8" customWidth="1"/>
    <col min="6" max="6" width="11.3046875" style="8" customWidth="1"/>
    <col min="7" max="7" width="12.69140625" style="8" customWidth="1"/>
    <col min="8" max="9" width="10.07421875" style="8" bestFit="1" customWidth="1"/>
    <col min="10" max="16384" width="8.84375" style="8"/>
  </cols>
  <sheetData>
    <row r="1" spans="1:5" x14ac:dyDescent="0.4">
      <c r="A1" s="355" t="s">
        <v>0</v>
      </c>
      <c r="B1" s="355"/>
      <c r="D1" s="1"/>
    </row>
    <row r="3" spans="1:5" ht="16.45" customHeight="1" x14ac:dyDescent="0.4">
      <c r="A3" s="2" t="s">
        <v>1</v>
      </c>
      <c r="B3" s="3" t="s">
        <v>2</v>
      </c>
      <c r="C3" s="512" t="s">
        <v>991</v>
      </c>
      <c r="D3" s="512"/>
      <c r="E3" s="512"/>
    </row>
    <row r="4" spans="1:5" x14ac:dyDescent="0.4">
      <c r="D4" s="5"/>
    </row>
    <row r="5" spans="1:5" x14ac:dyDescent="0.4">
      <c r="A5" s="36">
        <v>1</v>
      </c>
      <c r="B5" s="3" t="s">
        <v>3</v>
      </c>
      <c r="C5" s="458" t="s">
        <v>702</v>
      </c>
      <c r="D5" s="458"/>
      <c r="E5" s="458"/>
    </row>
    <row r="6" spans="1:5" x14ac:dyDescent="0.4">
      <c r="A6" s="9"/>
      <c r="B6" s="480" t="s">
        <v>5</v>
      </c>
      <c r="C6" s="480"/>
      <c r="D6" s="480"/>
      <c r="E6" s="480"/>
    </row>
    <row r="7" spans="1:5" x14ac:dyDescent="0.4">
      <c r="A7" s="9"/>
      <c r="B7" s="11"/>
      <c r="D7" s="5"/>
    </row>
    <row r="8" spans="1:5" x14ac:dyDescent="0.4">
      <c r="A8" s="9">
        <v>2</v>
      </c>
      <c r="B8" s="3" t="s">
        <v>6</v>
      </c>
      <c r="C8" s="497" t="s">
        <v>992</v>
      </c>
      <c r="D8" s="497"/>
      <c r="E8" s="497"/>
    </row>
    <row r="9" spans="1:5" x14ac:dyDescent="0.4">
      <c r="A9" s="9"/>
      <c r="B9" s="363" t="s">
        <v>5</v>
      </c>
      <c r="C9" s="368"/>
      <c r="D9" s="368"/>
      <c r="E9" s="369"/>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993</v>
      </c>
      <c r="D14" s="497"/>
      <c r="E14" s="497"/>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t="s">
        <v>693</v>
      </c>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25.65" x14ac:dyDescent="0.4">
      <c r="A19" s="9"/>
      <c r="B19" s="14" t="s">
        <v>1079</v>
      </c>
      <c r="C19" s="367" t="s">
        <v>560</v>
      </c>
      <c r="D19" s="367"/>
      <c r="E19" s="367"/>
      <c r="F19" s="15"/>
      <c r="G19" s="13"/>
      <c r="I19" s="13"/>
      <c r="J19" s="13"/>
      <c r="K19" s="13"/>
      <c r="L19" s="13"/>
      <c r="M19" s="13"/>
      <c r="N19" s="13"/>
    </row>
    <row r="20" spans="1:14" x14ac:dyDescent="0.4">
      <c r="A20" s="9"/>
      <c r="B20" s="14" t="s">
        <v>605</v>
      </c>
      <c r="C20" s="447" t="s">
        <v>319</v>
      </c>
      <c r="D20" s="447"/>
      <c r="E20" s="44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ht="13.25" customHeight="1" x14ac:dyDescent="0.4">
      <c r="A28" s="9"/>
      <c r="B28" s="19" t="s">
        <v>24</v>
      </c>
      <c r="C28" s="21">
        <v>17012.849999999999</v>
      </c>
      <c r="D28" s="540" t="s">
        <v>264</v>
      </c>
      <c r="E28" s="540" t="s">
        <v>203</v>
      </c>
      <c r="F28" s="15"/>
    </row>
    <row r="29" spans="1:14" x14ac:dyDescent="0.4">
      <c r="A29" s="9"/>
      <c r="B29" s="19" t="s">
        <v>25</v>
      </c>
      <c r="C29" s="21">
        <v>420.59</v>
      </c>
      <c r="D29" s="541"/>
      <c r="E29" s="541"/>
      <c r="F29" s="15"/>
    </row>
    <row r="30" spans="1:14" x14ac:dyDescent="0.4">
      <c r="A30" s="9"/>
      <c r="B30" s="19" t="s">
        <v>26</v>
      </c>
      <c r="C30" s="120">
        <v>1020</v>
      </c>
      <c r="D30" s="541"/>
      <c r="E30" s="541"/>
      <c r="F30" s="15"/>
    </row>
    <row r="31" spans="1:14" x14ac:dyDescent="0.4">
      <c r="A31" s="9"/>
      <c r="B31" s="19" t="s">
        <v>27</v>
      </c>
      <c r="C31" s="21">
        <v>1659.01</v>
      </c>
      <c r="D31" s="542"/>
      <c r="E31" s="542"/>
      <c r="F31" s="15"/>
    </row>
    <row r="32" spans="1:14" x14ac:dyDescent="0.4">
      <c r="A32" s="9"/>
      <c r="B32" s="363" t="s">
        <v>709</v>
      </c>
      <c r="C32" s="368"/>
      <c r="D32" s="368"/>
      <c r="E32" s="369"/>
      <c r="F32" s="15"/>
    </row>
    <row r="33" spans="1:10" x14ac:dyDescent="0.4">
      <c r="A33" s="9"/>
      <c r="B33" s="13"/>
      <c r="C33" s="15"/>
      <c r="D33" s="15"/>
      <c r="E33" s="15"/>
      <c r="F33" s="15"/>
    </row>
    <row r="34" spans="1:10" x14ac:dyDescent="0.4">
      <c r="A34" s="9">
        <v>7</v>
      </c>
      <c r="B34" s="398" t="s">
        <v>28</v>
      </c>
      <c r="C34" s="398"/>
      <c r="D34" s="398"/>
      <c r="E34" s="398"/>
      <c r="F34" s="11"/>
      <c r="G34" s="11"/>
      <c r="H34" s="11"/>
      <c r="I34" s="11"/>
      <c r="J34" s="11"/>
    </row>
    <row r="35" spans="1:10" x14ac:dyDescent="0.4">
      <c r="A35" s="9"/>
      <c r="B35" s="18" t="s">
        <v>29</v>
      </c>
      <c r="C35" s="446" t="s">
        <v>30</v>
      </c>
      <c r="D35" s="446"/>
      <c r="E35" s="446"/>
      <c r="F35" s="13"/>
    </row>
    <row r="36" spans="1:10" ht="25.55" customHeight="1" x14ac:dyDescent="0.4">
      <c r="A36" s="9"/>
      <c r="B36" s="18" t="s">
        <v>31</v>
      </c>
      <c r="C36" s="446" t="s">
        <v>320</v>
      </c>
      <c r="D36" s="446"/>
      <c r="E36" s="446"/>
      <c r="F36" s="13"/>
    </row>
    <row r="37" spans="1:10" ht="25.55" customHeight="1" x14ac:dyDescent="0.4">
      <c r="A37" s="9"/>
      <c r="B37" s="18" t="s">
        <v>32</v>
      </c>
      <c r="C37" s="446" t="s">
        <v>201</v>
      </c>
      <c r="D37" s="446"/>
      <c r="E37" s="446"/>
      <c r="F37" s="13"/>
    </row>
    <row r="38" spans="1:10" x14ac:dyDescent="0.4">
      <c r="A38" s="9"/>
      <c r="C38" s="13"/>
      <c r="D38" s="13"/>
      <c r="E38" s="13"/>
      <c r="F38" s="13"/>
    </row>
    <row r="39" spans="1:10" x14ac:dyDescent="0.4">
      <c r="A39" s="9"/>
      <c r="B39" s="15"/>
      <c r="C39" s="13"/>
      <c r="D39" s="13"/>
      <c r="E39" s="13"/>
      <c r="F39" s="13"/>
    </row>
    <row r="40" spans="1:10" x14ac:dyDescent="0.4">
      <c r="A40" s="9">
        <v>8</v>
      </c>
      <c r="B40" s="365" t="s">
        <v>1084</v>
      </c>
      <c r="C40" s="365"/>
      <c r="D40" s="365"/>
      <c r="E40" s="365"/>
      <c r="F40" s="11"/>
      <c r="G40" s="11"/>
      <c r="H40" s="11"/>
      <c r="I40" s="11"/>
      <c r="J40" s="11"/>
    </row>
    <row r="41" spans="1:10" x14ac:dyDescent="0.4">
      <c r="A41" s="9"/>
      <c r="B41" s="17" t="s">
        <v>34</v>
      </c>
      <c r="C41" s="446" t="s">
        <v>730</v>
      </c>
      <c r="D41" s="446"/>
      <c r="E41" s="446"/>
      <c r="F41" s="13"/>
    </row>
    <row r="42" spans="1:10" ht="15.05" x14ac:dyDescent="0.45">
      <c r="A42" s="9"/>
      <c r="B42" s="17" t="s">
        <v>31</v>
      </c>
      <c r="C42" s="446" t="s">
        <v>320</v>
      </c>
      <c r="D42" s="446"/>
      <c r="E42" s="446"/>
      <c r="F42" s="182"/>
      <c r="I42" s="182"/>
    </row>
    <row r="43" spans="1:10" x14ac:dyDescent="0.4">
      <c r="A43" s="9"/>
      <c r="B43" s="17" t="s">
        <v>32</v>
      </c>
      <c r="C43" s="446" t="s">
        <v>201</v>
      </c>
      <c r="D43" s="446"/>
      <c r="E43" s="446"/>
      <c r="F43" s="13"/>
      <c r="G43" s="8" t="s">
        <v>693</v>
      </c>
    </row>
    <row r="44" spans="1:10" x14ac:dyDescent="0.4">
      <c r="A44" s="9"/>
      <c r="B44" s="363" t="s">
        <v>1034</v>
      </c>
      <c r="C44" s="368"/>
      <c r="D44" s="368"/>
      <c r="E44" s="369"/>
      <c r="F44" s="13"/>
    </row>
    <row r="45" spans="1:10" x14ac:dyDescent="0.4">
      <c r="A45" s="2"/>
      <c r="D45" s="23"/>
      <c r="E45" s="13"/>
    </row>
    <row r="46" spans="1:10" x14ac:dyDescent="0.4">
      <c r="A46" s="24">
        <v>9</v>
      </c>
      <c r="B46" s="376" t="s">
        <v>1085</v>
      </c>
      <c r="C46" s="365"/>
      <c r="D46" s="365"/>
      <c r="E46" s="365"/>
      <c r="F46" s="25"/>
      <c r="G46" s="11"/>
      <c r="H46" s="11"/>
      <c r="I46" s="11"/>
    </row>
    <row r="47" spans="1:10" ht="25.65" x14ac:dyDescent="0.4">
      <c r="A47" s="24"/>
      <c r="B47" s="26" t="s">
        <v>37</v>
      </c>
      <c r="C47" s="27" t="s">
        <v>38</v>
      </c>
      <c r="D47" s="28" t="s">
        <v>39</v>
      </c>
      <c r="E47" s="27" t="s">
        <v>206</v>
      </c>
    </row>
    <row r="48" spans="1:10" ht="159.05000000000001" x14ac:dyDescent="0.4">
      <c r="A48" s="29"/>
      <c r="B48" s="30" t="s">
        <v>994</v>
      </c>
      <c r="C48" s="30" t="s">
        <v>995</v>
      </c>
      <c r="D48" s="117" t="s">
        <v>186</v>
      </c>
      <c r="E48" s="117" t="s">
        <v>186</v>
      </c>
    </row>
    <row r="49" spans="1:14" x14ac:dyDescent="0.4">
      <c r="A49" s="31"/>
      <c r="B49" s="380" t="s">
        <v>982</v>
      </c>
      <c r="C49" s="381"/>
      <c r="D49" s="381"/>
      <c r="E49" s="382"/>
      <c r="F49" s="15"/>
      <c r="G49" s="15"/>
      <c r="H49" s="15"/>
    </row>
    <row r="50" spans="1:14" x14ac:dyDescent="0.4">
      <c r="A50" s="32"/>
      <c r="B50" s="62"/>
      <c r="C50" s="23"/>
      <c r="D50" s="23"/>
      <c r="E50" s="23"/>
      <c r="F50" s="15"/>
      <c r="G50" s="15"/>
      <c r="H50" s="15"/>
      <c r="I50" s="15"/>
    </row>
    <row r="51" spans="1:14" x14ac:dyDescent="0.4">
      <c r="A51" s="24">
        <v>10</v>
      </c>
      <c r="B51" s="376" t="s">
        <v>1085</v>
      </c>
      <c r="C51" s="365"/>
      <c r="D51" s="365"/>
      <c r="E51" s="365"/>
      <c r="F51" s="15"/>
      <c r="G51" s="15" t="s">
        <v>693</v>
      </c>
      <c r="H51" s="15"/>
    </row>
    <row r="52" spans="1:14" x14ac:dyDescent="0.4">
      <c r="A52" s="29"/>
      <c r="B52" s="452" t="s">
        <v>43</v>
      </c>
      <c r="C52" s="461" t="s">
        <v>996</v>
      </c>
      <c r="D52" s="462"/>
      <c r="E52" s="463"/>
      <c r="K52" s="1"/>
    </row>
    <row r="53" spans="1:14" ht="72.8" customHeight="1" x14ac:dyDescent="0.4">
      <c r="A53" s="29"/>
      <c r="B53" s="453"/>
      <c r="C53" s="464"/>
      <c r="D53" s="465"/>
      <c r="E53" s="466"/>
      <c r="K53" s="1"/>
    </row>
    <row r="54" spans="1:14" x14ac:dyDescent="0.4">
      <c r="A54" s="24"/>
      <c r="B54" s="33" t="s">
        <v>44</v>
      </c>
      <c r="C54" s="391" t="s">
        <v>186</v>
      </c>
      <c r="D54" s="391"/>
      <c r="E54" s="391"/>
    </row>
    <row r="55" spans="1:14" x14ac:dyDescent="0.4">
      <c r="A55" s="29"/>
      <c r="B55" s="33" t="s">
        <v>45</v>
      </c>
      <c r="C55" s="471" t="s">
        <v>46</v>
      </c>
      <c r="D55" s="472"/>
      <c r="E55" s="473"/>
      <c r="K55" s="34"/>
    </row>
    <row r="56" spans="1:14" x14ac:dyDescent="0.4">
      <c r="A56" s="29"/>
      <c r="B56" s="380" t="s">
        <v>982</v>
      </c>
      <c r="C56" s="381"/>
      <c r="D56" s="381"/>
      <c r="E56" s="382"/>
      <c r="G56" s="8" t="s">
        <v>693</v>
      </c>
      <c r="K56" s="34"/>
    </row>
    <row r="57" spans="1:14" s="63" customFormat="1" x14ac:dyDescent="0.35">
      <c r="A57" s="35" t="s">
        <v>47</v>
      </c>
      <c r="B57" s="392" t="s">
        <v>48</v>
      </c>
      <c r="C57" s="392"/>
      <c r="D57" s="392"/>
      <c r="E57" s="392"/>
    </row>
    <row r="58" spans="1:14" x14ac:dyDescent="0.4">
      <c r="A58" s="40"/>
      <c r="B58" s="41"/>
      <c r="C58" s="42"/>
      <c r="D58" s="42"/>
      <c r="E58" s="42"/>
      <c r="F58" s="42"/>
    </row>
    <row r="59" spans="1:14" x14ac:dyDescent="0.4">
      <c r="A59" s="9">
        <v>11</v>
      </c>
      <c r="B59" s="3" t="s">
        <v>49</v>
      </c>
      <c r="C59" s="446" t="s">
        <v>1031</v>
      </c>
      <c r="D59" s="446"/>
      <c r="E59" s="446"/>
      <c r="F59" s="11"/>
      <c r="G59" s="11"/>
      <c r="H59" s="43"/>
      <c r="I59" s="11"/>
      <c r="J59" s="11"/>
    </row>
    <row r="60" spans="1:14" x14ac:dyDescent="0.4">
      <c r="A60" s="9"/>
      <c r="B60" s="15"/>
      <c r="C60" s="15"/>
      <c r="D60" s="15"/>
      <c r="E60" s="15"/>
      <c r="F60" s="15"/>
      <c r="G60" s="15"/>
      <c r="H60" s="44"/>
      <c r="I60" s="44"/>
      <c r="J60" s="15"/>
    </row>
    <row r="61" spans="1:14" x14ac:dyDescent="0.4">
      <c r="A61" s="9">
        <v>12</v>
      </c>
      <c r="B61" s="11" t="s">
        <v>51</v>
      </c>
      <c r="C61" s="11"/>
      <c r="D61" s="11"/>
      <c r="E61" s="43"/>
      <c r="F61" s="43"/>
      <c r="G61" s="11"/>
      <c r="H61" s="11"/>
      <c r="I61" s="11"/>
      <c r="J61" s="11"/>
      <c r="K61" s="11"/>
      <c r="L61" s="11"/>
      <c r="M61" s="11"/>
      <c r="N61" s="11"/>
    </row>
    <row r="62" spans="1:14" x14ac:dyDescent="0.4">
      <c r="A62" s="9"/>
      <c r="B62" s="11"/>
      <c r="C62" s="11"/>
      <c r="D62" s="11"/>
      <c r="E62" s="43"/>
      <c r="F62" s="43"/>
      <c r="G62" s="43"/>
      <c r="H62" s="11"/>
      <c r="I62" s="282"/>
      <c r="J62" s="11"/>
      <c r="K62" s="11"/>
      <c r="L62" s="11"/>
      <c r="M62" s="11"/>
      <c r="N62" s="11"/>
    </row>
    <row r="63" spans="1:14" x14ac:dyDescent="0.4">
      <c r="A63" s="9"/>
      <c r="B63" s="17" t="s">
        <v>52</v>
      </c>
      <c r="C63" s="446" t="s">
        <v>997</v>
      </c>
      <c r="D63" s="446"/>
      <c r="E63" s="446"/>
      <c r="F63" s="44"/>
      <c r="G63" s="44"/>
      <c r="H63" s="118"/>
      <c r="I63" s="118"/>
      <c r="J63" s="15"/>
      <c r="K63" s="15"/>
      <c r="L63" s="15"/>
      <c r="M63" s="15"/>
      <c r="N63" s="15"/>
    </row>
    <row r="64" spans="1:14" x14ac:dyDescent="0.4">
      <c r="A64" s="9"/>
      <c r="B64" s="15"/>
      <c r="C64" s="15"/>
      <c r="D64" s="236"/>
      <c r="E64" s="118"/>
      <c r="F64" s="15"/>
      <c r="G64" s="15"/>
      <c r="H64" s="15"/>
      <c r="I64" s="15"/>
      <c r="J64" s="15"/>
      <c r="K64" s="15"/>
      <c r="L64" s="15"/>
      <c r="M64" s="15"/>
      <c r="N64" s="15"/>
    </row>
    <row r="65" spans="1:14" x14ac:dyDescent="0.4">
      <c r="A65" s="9"/>
      <c r="B65" s="365" t="s">
        <v>53</v>
      </c>
      <c r="C65" s="366" t="s">
        <v>998</v>
      </c>
      <c r="D65" s="366" t="s">
        <v>271</v>
      </c>
      <c r="E65" s="403" t="s">
        <v>232</v>
      </c>
      <c r="F65" s="395" t="s">
        <v>626</v>
      </c>
      <c r="G65" s="396"/>
      <c r="H65" s="397"/>
      <c r="I65" s="398" t="s">
        <v>55</v>
      </c>
      <c r="J65" s="398"/>
      <c r="K65" s="398"/>
      <c r="L65" s="398" t="s">
        <v>56</v>
      </c>
      <c r="M65" s="398"/>
      <c r="N65" s="398"/>
    </row>
    <row r="66" spans="1:14" ht="38.450000000000003" x14ac:dyDescent="0.4">
      <c r="A66" s="2"/>
      <c r="B66" s="365"/>
      <c r="C66" s="402"/>
      <c r="D66" s="402"/>
      <c r="E66" s="404"/>
      <c r="F66" s="17" t="s">
        <v>57</v>
      </c>
      <c r="G66" s="17" t="s">
        <v>58</v>
      </c>
      <c r="H66" s="17" t="s">
        <v>59</v>
      </c>
      <c r="I66" s="17" t="s">
        <v>60</v>
      </c>
      <c r="J66" s="17" t="s">
        <v>58</v>
      </c>
      <c r="K66" s="17" t="s">
        <v>59</v>
      </c>
      <c r="L66" s="17" t="s">
        <v>60</v>
      </c>
      <c r="M66" s="17" t="s">
        <v>58</v>
      </c>
      <c r="N66" s="17" t="s">
        <v>59</v>
      </c>
    </row>
    <row r="67" spans="1:14" ht="14.6" x14ac:dyDescent="0.4">
      <c r="A67" s="2"/>
      <c r="B67" s="17" t="s">
        <v>61</v>
      </c>
      <c r="C67" s="284">
        <v>44.5</v>
      </c>
      <c r="D67" s="101">
        <v>84.5</v>
      </c>
      <c r="E67" s="98">
        <v>60.35</v>
      </c>
      <c r="F67" s="101">
        <v>41</v>
      </c>
      <c r="G67" s="101">
        <v>93.95</v>
      </c>
      <c r="H67" s="101">
        <v>38.5</v>
      </c>
      <c r="I67" s="45" t="s">
        <v>41</v>
      </c>
      <c r="J67" s="45" t="s">
        <v>41</v>
      </c>
      <c r="K67" s="45" t="s">
        <v>41</v>
      </c>
      <c r="L67" s="45" t="s">
        <v>41</v>
      </c>
      <c r="M67" s="45" t="s">
        <v>41</v>
      </c>
      <c r="N67" s="45" t="s">
        <v>41</v>
      </c>
    </row>
    <row r="68" spans="1:14" ht="25.65" x14ac:dyDescent="0.4">
      <c r="A68" s="2"/>
      <c r="B68" s="17" t="s">
        <v>216</v>
      </c>
      <c r="C68" s="284">
        <v>57991.11</v>
      </c>
      <c r="D68" s="287">
        <v>61033.55</v>
      </c>
      <c r="E68" s="101">
        <v>60747.31</v>
      </c>
      <c r="F68" s="101">
        <v>58991.519999999997</v>
      </c>
      <c r="G68" s="101">
        <v>63583.07</v>
      </c>
      <c r="H68" s="101">
        <v>57050.400000000001</v>
      </c>
      <c r="I68" s="45" t="s">
        <v>41</v>
      </c>
      <c r="J68" s="45" t="s">
        <v>41</v>
      </c>
      <c r="K68" s="45" t="s">
        <v>41</v>
      </c>
      <c r="L68" s="45" t="s">
        <v>41</v>
      </c>
      <c r="M68" s="45" t="s">
        <v>41</v>
      </c>
      <c r="N68" s="45" t="s">
        <v>41</v>
      </c>
    </row>
    <row r="69" spans="1:14" x14ac:dyDescent="0.4">
      <c r="A69" s="2"/>
      <c r="B69" s="17" t="s">
        <v>1087</v>
      </c>
      <c r="C69" s="546" t="s">
        <v>83</v>
      </c>
      <c r="D69" s="546"/>
      <c r="E69" s="546"/>
      <c r="F69" s="546"/>
      <c r="G69" s="546"/>
      <c r="H69" s="546"/>
      <c r="I69" s="546"/>
      <c r="J69" s="546"/>
      <c r="K69" s="546"/>
      <c r="L69" s="546"/>
      <c r="M69" s="546"/>
      <c r="N69" s="546"/>
    </row>
    <row r="70" spans="1:14" x14ac:dyDescent="0.4">
      <c r="A70" s="2"/>
      <c r="B70" s="399" t="s">
        <v>1100</v>
      </c>
      <c r="C70" s="399"/>
      <c r="D70" s="399"/>
      <c r="E70" s="399"/>
      <c r="F70" s="399"/>
      <c r="G70" s="399"/>
      <c r="H70" s="399"/>
      <c r="I70" s="399"/>
      <c r="J70" s="399"/>
      <c r="K70" s="399"/>
      <c r="L70" s="399"/>
      <c r="M70" s="399"/>
      <c r="N70" s="399"/>
    </row>
    <row r="71" spans="1:14" x14ac:dyDescent="0.4">
      <c r="A71" s="2"/>
      <c r="B71" s="545" t="s">
        <v>17</v>
      </c>
      <c r="C71" s="545"/>
      <c r="D71" s="545"/>
      <c r="E71" s="545"/>
      <c r="F71" s="545"/>
      <c r="G71" s="545"/>
      <c r="H71" s="545"/>
      <c r="I71" s="545"/>
      <c r="J71" s="545"/>
      <c r="K71" s="545"/>
      <c r="L71" s="545"/>
      <c r="M71" s="545"/>
      <c r="N71" s="545"/>
    </row>
    <row r="72" spans="1:14" x14ac:dyDescent="0.4">
      <c r="A72" s="2"/>
      <c r="B72" s="480" t="s">
        <v>63</v>
      </c>
      <c r="C72" s="480"/>
      <c r="D72" s="480"/>
      <c r="E72" s="480"/>
      <c r="F72" s="480"/>
      <c r="G72" s="480"/>
      <c r="H72" s="480"/>
      <c r="I72" s="480"/>
      <c r="J72" s="480"/>
      <c r="K72" s="480"/>
      <c r="L72" s="480"/>
      <c r="M72" s="480"/>
      <c r="N72" s="480"/>
    </row>
    <row r="73" spans="1:14" s="1" customFormat="1" x14ac:dyDescent="0.4">
      <c r="B73" s="474" t="s">
        <v>64</v>
      </c>
      <c r="C73" s="474"/>
      <c r="D73" s="474"/>
      <c r="E73" s="474"/>
      <c r="F73" s="474"/>
      <c r="G73" s="474"/>
      <c r="H73" s="474"/>
      <c r="I73" s="474"/>
      <c r="J73" s="474"/>
      <c r="K73" s="474"/>
      <c r="L73" s="474"/>
      <c r="M73" s="474"/>
      <c r="N73" s="474"/>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25.65" x14ac:dyDescent="0.4">
      <c r="A79" s="2"/>
      <c r="B79" s="50" t="s">
        <v>67</v>
      </c>
      <c r="C79" s="18" t="s">
        <v>68</v>
      </c>
      <c r="D79" s="18" t="s">
        <v>1127</v>
      </c>
      <c r="E79" s="18" t="s">
        <v>218</v>
      </c>
      <c r="F79" s="18" t="s">
        <v>71</v>
      </c>
      <c r="G79" s="18" t="s">
        <v>107</v>
      </c>
      <c r="H79" s="13"/>
      <c r="I79" s="13"/>
      <c r="J79" s="13"/>
      <c r="K79" s="13"/>
      <c r="L79" s="13"/>
      <c r="M79" s="13"/>
      <c r="N79" s="13"/>
    </row>
    <row r="80" spans="1:14" ht="13.25" customHeight="1" x14ac:dyDescent="0.35">
      <c r="A80" s="2"/>
      <c r="B80" s="394" t="s">
        <v>72</v>
      </c>
      <c r="C80" s="3" t="s">
        <v>999</v>
      </c>
      <c r="D80" s="65">
        <v>8.2799999999999994</v>
      </c>
      <c r="E80" s="66">
        <v>4.79</v>
      </c>
      <c r="F80" s="435" t="s">
        <v>326</v>
      </c>
      <c r="G80" s="435" t="s">
        <v>220</v>
      </c>
      <c r="H80" s="53"/>
      <c r="I80" s="53"/>
      <c r="J80" s="53"/>
      <c r="K80" s="53"/>
      <c r="L80" s="53"/>
      <c r="M80" s="53"/>
      <c r="N80" s="53"/>
    </row>
    <row r="81" spans="1:14" x14ac:dyDescent="0.4">
      <c r="A81" s="2"/>
      <c r="B81" s="394"/>
      <c r="C81" s="3" t="s">
        <v>765</v>
      </c>
      <c r="D81" s="54"/>
      <c r="E81" s="66"/>
      <c r="F81" s="436"/>
      <c r="G81" s="436"/>
      <c r="H81" s="53"/>
      <c r="I81" s="53"/>
      <c r="J81" s="53"/>
      <c r="K81" s="53"/>
      <c r="L81" s="53"/>
      <c r="M81" s="53"/>
      <c r="N81" s="53"/>
    </row>
    <row r="82" spans="1:14" x14ac:dyDescent="0.4">
      <c r="A82" s="2"/>
      <c r="B82" s="394"/>
      <c r="C82" s="21" t="s">
        <v>1000</v>
      </c>
      <c r="D82" s="54">
        <v>6.65</v>
      </c>
      <c r="E82" s="66">
        <v>9.94</v>
      </c>
      <c r="F82" s="436"/>
      <c r="G82" s="436"/>
      <c r="H82" s="53"/>
      <c r="I82" s="53"/>
      <c r="J82" s="53"/>
      <c r="K82" s="53"/>
      <c r="L82" s="53"/>
      <c r="M82" s="53"/>
      <c r="N82" s="53"/>
    </row>
    <row r="83" spans="1:14" x14ac:dyDescent="0.4">
      <c r="A83" s="2"/>
      <c r="B83" s="394"/>
      <c r="C83" s="21" t="s">
        <v>1001</v>
      </c>
      <c r="D83" s="54">
        <v>37.68</v>
      </c>
      <c r="E83" s="66">
        <v>25.62</v>
      </c>
      <c r="F83" s="436"/>
      <c r="G83" s="436"/>
      <c r="H83" s="53"/>
      <c r="I83" s="53"/>
      <c r="J83" s="53"/>
      <c r="K83" s="53"/>
      <c r="L83" s="53"/>
      <c r="M83" s="53"/>
      <c r="N83" s="53"/>
    </row>
    <row r="84" spans="1:14" x14ac:dyDescent="0.4">
      <c r="A84" s="2"/>
      <c r="B84" s="394"/>
      <c r="C84" s="21" t="s">
        <v>1002</v>
      </c>
      <c r="D84" s="54">
        <v>5.16</v>
      </c>
      <c r="E84" s="66">
        <v>3.64</v>
      </c>
      <c r="F84" s="436"/>
      <c r="G84" s="436"/>
      <c r="H84" s="53"/>
      <c r="I84" s="53"/>
      <c r="J84" s="53"/>
      <c r="K84" s="53"/>
      <c r="L84" s="53"/>
      <c r="M84" s="53"/>
      <c r="N84" s="53"/>
    </row>
    <row r="85" spans="1:14" x14ac:dyDescent="0.4">
      <c r="A85" s="2"/>
      <c r="B85" s="394"/>
      <c r="C85" s="3" t="s">
        <v>74</v>
      </c>
      <c r="D85" s="127">
        <f>(D84+D83+D82)/3</f>
        <v>16.496666666666666</v>
      </c>
      <c r="E85" s="70">
        <f>AVERAGE(E82:E84)</f>
        <v>13.066666666666668</v>
      </c>
      <c r="F85" s="436"/>
      <c r="G85" s="436"/>
      <c r="H85" s="53"/>
      <c r="I85" s="53"/>
      <c r="J85" s="53"/>
      <c r="K85" s="53"/>
      <c r="L85" s="53"/>
      <c r="M85" s="53"/>
      <c r="N85" s="53"/>
    </row>
    <row r="86" spans="1:14" x14ac:dyDescent="0.35">
      <c r="A86" s="2"/>
      <c r="B86" s="394" t="s">
        <v>75</v>
      </c>
      <c r="C86" s="3" t="s">
        <v>999</v>
      </c>
      <c r="D86" s="77">
        <v>3.38</v>
      </c>
      <c r="E86" s="70">
        <f>F67/E80</f>
        <v>8.559498956158663</v>
      </c>
      <c r="F86" s="436"/>
      <c r="G86" s="436"/>
      <c r="H86" s="53"/>
      <c r="I86" s="53"/>
      <c r="J86" s="53"/>
      <c r="K86" s="53"/>
      <c r="L86" s="53"/>
      <c r="M86" s="53"/>
      <c r="N86" s="53"/>
    </row>
    <row r="87" spans="1:14" x14ac:dyDescent="0.4">
      <c r="A87" s="2"/>
      <c r="B87" s="394"/>
      <c r="C87" s="3" t="s">
        <v>73</v>
      </c>
      <c r="D87" s="54"/>
      <c r="E87" s="66"/>
      <c r="F87" s="436"/>
      <c r="G87" s="436"/>
      <c r="H87" s="53"/>
      <c r="I87" s="53"/>
      <c r="J87" s="53"/>
      <c r="K87" s="53"/>
      <c r="L87" s="53"/>
      <c r="M87" s="53"/>
      <c r="N87" s="53"/>
    </row>
    <row r="88" spans="1:14" x14ac:dyDescent="0.4">
      <c r="A88" s="2"/>
      <c r="B88" s="394"/>
      <c r="C88" s="21" t="s">
        <v>1000</v>
      </c>
      <c r="D88" s="54">
        <v>35.19</v>
      </c>
      <c r="E88" s="70">
        <f>150.3/E82</f>
        <v>15.120724346076461</v>
      </c>
      <c r="F88" s="436"/>
      <c r="G88" s="436"/>
      <c r="H88" s="53"/>
      <c r="I88" s="53"/>
      <c r="J88" s="53"/>
      <c r="K88" s="53"/>
      <c r="L88" s="53"/>
      <c r="M88" s="53"/>
      <c r="N88" s="53"/>
    </row>
    <row r="89" spans="1:14" x14ac:dyDescent="0.4">
      <c r="A89" s="2"/>
      <c r="B89" s="394"/>
      <c r="C89" s="21" t="s">
        <v>1001</v>
      </c>
      <c r="D89" s="54">
        <v>10.61</v>
      </c>
      <c r="E89" s="66">
        <v>13.88</v>
      </c>
      <c r="F89" s="436"/>
      <c r="G89" s="436"/>
      <c r="H89" s="53"/>
      <c r="I89" s="53"/>
      <c r="J89" s="53"/>
      <c r="K89" s="53"/>
      <c r="L89" s="53"/>
      <c r="M89" s="53"/>
      <c r="N89" s="53"/>
    </row>
    <row r="90" spans="1:14" x14ac:dyDescent="0.4">
      <c r="A90" s="2"/>
      <c r="B90" s="394"/>
      <c r="C90" s="21" t="s">
        <v>1002</v>
      </c>
      <c r="D90" s="54">
        <v>99.3</v>
      </c>
      <c r="E90" s="70">
        <f>353.85/E84</f>
        <v>97.211538461538467</v>
      </c>
      <c r="F90" s="436"/>
      <c r="G90" s="436"/>
      <c r="H90" s="53"/>
      <c r="I90" s="53"/>
      <c r="J90" s="53"/>
      <c r="K90" s="53"/>
      <c r="L90" s="53"/>
      <c r="M90" s="53"/>
      <c r="N90" s="53"/>
    </row>
    <row r="91" spans="1:14" x14ac:dyDescent="0.4">
      <c r="A91" s="2"/>
      <c r="B91" s="394"/>
      <c r="C91" s="3" t="s">
        <v>74</v>
      </c>
      <c r="D91" s="127">
        <f>(D90+D89+D88)/3</f>
        <v>48.366666666666667</v>
      </c>
      <c r="E91" s="70">
        <f>AVERAGE(E88:E90)</f>
        <v>42.070754269204976</v>
      </c>
      <c r="F91" s="436"/>
      <c r="G91" s="436"/>
      <c r="H91" s="53"/>
      <c r="I91" s="53"/>
      <c r="J91" s="53"/>
      <c r="K91" s="53"/>
      <c r="L91" s="53"/>
      <c r="M91" s="53"/>
      <c r="N91" s="53"/>
    </row>
    <row r="92" spans="1:14" ht="14.6" x14ac:dyDescent="0.4">
      <c r="A92" s="2"/>
      <c r="B92" s="394" t="s">
        <v>76</v>
      </c>
      <c r="C92" s="3" t="s">
        <v>999</v>
      </c>
      <c r="D92" s="97">
        <v>0.3881</v>
      </c>
      <c r="E92" s="71">
        <f>233.45/2679.01</f>
        <v>8.7140398878690253E-2</v>
      </c>
      <c r="F92" s="436"/>
      <c r="G92" s="436"/>
      <c r="H92" s="53"/>
      <c r="I92" t="s">
        <v>693</v>
      </c>
      <c r="J92"/>
      <c r="K92"/>
      <c r="L92"/>
      <c r="M92"/>
      <c r="N92"/>
    </row>
    <row r="93" spans="1:14" x14ac:dyDescent="0.4">
      <c r="A93" s="2"/>
      <c r="B93" s="394"/>
      <c r="C93" s="3" t="s">
        <v>73</v>
      </c>
      <c r="D93" s="54"/>
      <c r="E93" s="66"/>
      <c r="F93" s="436"/>
      <c r="G93" s="436"/>
      <c r="H93" s="53"/>
      <c r="I93" s="53"/>
      <c r="J93" s="53"/>
      <c r="K93" s="53"/>
      <c r="L93" s="53"/>
      <c r="M93" s="53"/>
      <c r="N93" s="53"/>
    </row>
    <row r="94" spans="1:14" x14ac:dyDescent="0.4">
      <c r="A94" s="2"/>
      <c r="B94" s="394"/>
      <c r="C94" s="21" t="s">
        <v>1000</v>
      </c>
      <c r="D94" s="54">
        <v>0.1313</v>
      </c>
      <c r="E94" s="71">
        <f>2431.91/14858.43</f>
        <v>0.16367207033313746</v>
      </c>
      <c r="F94" s="436"/>
      <c r="G94" s="436"/>
      <c r="H94" s="53"/>
      <c r="I94" s="53"/>
      <c r="J94" s="53"/>
      <c r="K94" s="53"/>
      <c r="L94" s="53"/>
      <c r="M94" s="53"/>
      <c r="N94" s="53"/>
    </row>
    <row r="95" spans="1:14" x14ac:dyDescent="0.4">
      <c r="A95" s="2"/>
      <c r="B95" s="394"/>
      <c r="C95" s="21" t="s">
        <v>1001</v>
      </c>
      <c r="D95" s="54">
        <v>27.21</v>
      </c>
      <c r="E95" s="71">
        <f>65321/281422</f>
        <v>0.23211049598112443</v>
      </c>
      <c r="F95" s="436"/>
      <c r="G95" s="436"/>
      <c r="H95" s="53"/>
      <c r="I95" s="53"/>
      <c r="J95" s="53"/>
      <c r="K95" s="53"/>
      <c r="L95" s="53"/>
      <c r="M95" s="53"/>
      <c r="N95" s="53"/>
    </row>
    <row r="96" spans="1:14" x14ac:dyDescent="0.4">
      <c r="A96" s="2"/>
      <c r="B96" s="394"/>
      <c r="C96" s="21" t="s">
        <v>1002</v>
      </c>
      <c r="D96" s="54">
        <v>5.85</v>
      </c>
      <c r="E96" s="71">
        <f>27.42/561.67</f>
        <v>4.8818701372692154E-2</v>
      </c>
      <c r="F96" s="436"/>
      <c r="G96" s="436"/>
      <c r="H96" s="53"/>
      <c r="I96" s="53"/>
      <c r="J96" s="53" t="s">
        <v>693</v>
      </c>
      <c r="K96" s="53"/>
      <c r="L96" s="53"/>
      <c r="M96" s="53"/>
      <c r="N96" s="53"/>
    </row>
    <row r="97" spans="1:14" x14ac:dyDescent="0.4">
      <c r="A97" s="2"/>
      <c r="B97" s="394"/>
      <c r="C97" s="3" t="s">
        <v>74</v>
      </c>
      <c r="D97" s="196">
        <f>(D96+D95+D94)/3/100</f>
        <v>0.11063766666666668</v>
      </c>
      <c r="E97" s="91">
        <f>AVERAGE(E94:E96)</f>
        <v>0.14820042256231802</v>
      </c>
      <c r="F97" s="436"/>
      <c r="G97" s="436"/>
      <c r="H97" s="53"/>
      <c r="I97" s="53"/>
      <c r="J97" s="53"/>
      <c r="K97" s="53"/>
      <c r="L97" s="53"/>
      <c r="M97" s="53"/>
      <c r="N97" s="53"/>
    </row>
    <row r="98" spans="1:14" x14ac:dyDescent="0.35">
      <c r="A98" s="2"/>
      <c r="B98" s="394" t="s">
        <v>77</v>
      </c>
      <c r="C98" s="3" t="s">
        <v>999</v>
      </c>
      <c r="D98" s="65">
        <v>21.33</v>
      </c>
      <c r="E98" s="70">
        <f>2679.01/102</f>
        <v>26.264803921568628</v>
      </c>
      <c r="F98" s="436"/>
      <c r="G98" s="436"/>
      <c r="H98" s="53"/>
      <c r="I98" s="53"/>
      <c r="J98" s="53"/>
      <c r="K98" s="53"/>
      <c r="L98" s="53"/>
      <c r="M98" s="53"/>
      <c r="N98" s="53"/>
    </row>
    <row r="99" spans="1:14" x14ac:dyDescent="0.4">
      <c r="A99" s="2"/>
      <c r="B99" s="394"/>
      <c r="C99" s="3" t="s">
        <v>73</v>
      </c>
      <c r="D99" s="54"/>
      <c r="E99" s="66"/>
      <c r="F99" s="436"/>
      <c r="G99" s="436"/>
      <c r="H99" s="53"/>
      <c r="I99" s="53"/>
      <c r="J99" s="53"/>
      <c r="K99" s="53"/>
      <c r="L99" s="53"/>
      <c r="M99" s="53"/>
      <c r="N99" s="53"/>
    </row>
    <row r="100" spans="1:14" x14ac:dyDescent="0.4">
      <c r="A100" s="2"/>
      <c r="B100" s="411"/>
      <c r="C100" s="21" t="s">
        <v>1000</v>
      </c>
      <c r="D100" s="54">
        <v>50.64</v>
      </c>
      <c r="E100" s="70">
        <f>14858.43/244.76</f>
        <v>60.706120281091685</v>
      </c>
      <c r="F100" s="436"/>
      <c r="G100" s="436"/>
      <c r="H100" s="53"/>
      <c r="I100" s="53" t="s">
        <v>693</v>
      </c>
      <c r="J100" s="53"/>
      <c r="K100" s="53"/>
      <c r="L100" s="53"/>
      <c r="M100" s="53"/>
      <c r="N100" s="53"/>
    </row>
    <row r="101" spans="1:14" x14ac:dyDescent="0.4">
      <c r="A101" s="2"/>
      <c r="B101" s="411"/>
      <c r="C101" s="21" t="s">
        <v>1001</v>
      </c>
      <c r="D101" s="54">
        <v>144.30000000000001</v>
      </c>
      <c r="E101" s="70">
        <f>281422/2457</f>
        <v>114.53886853886854</v>
      </c>
      <c r="F101" s="436"/>
      <c r="G101" s="436"/>
      <c r="H101" s="53"/>
      <c r="I101" s="53"/>
      <c r="J101" s="53"/>
      <c r="K101" s="53"/>
      <c r="L101" s="53"/>
      <c r="M101" s="53"/>
      <c r="N101" s="53"/>
    </row>
    <row r="102" spans="1:14" x14ac:dyDescent="0.4">
      <c r="A102" s="2"/>
      <c r="B102" s="411"/>
      <c r="C102" s="21" t="s">
        <v>1002</v>
      </c>
      <c r="D102" s="54">
        <v>82.18</v>
      </c>
      <c r="E102" s="70">
        <f>561.67/7.19</f>
        <v>78.118219749652283</v>
      </c>
      <c r="F102" s="436"/>
      <c r="G102" s="436"/>
      <c r="H102" s="53"/>
      <c r="I102" s="53"/>
      <c r="J102" s="53"/>
      <c r="K102" s="53"/>
      <c r="L102" s="53"/>
      <c r="M102" s="53"/>
      <c r="N102" s="53"/>
    </row>
    <row r="103" spans="1:14" x14ac:dyDescent="0.4">
      <c r="A103" s="2"/>
      <c r="B103" s="411"/>
      <c r="C103" s="3" t="s">
        <v>74</v>
      </c>
      <c r="D103" s="127">
        <f>(D102+D101+D100)/3</f>
        <v>92.373333333333335</v>
      </c>
      <c r="E103" s="70">
        <f>AVERAGE(E100:E102)</f>
        <v>84.454402856537499</v>
      </c>
      <c r="F103" s="436"/>
      <c r="G103" s="436"/>
      <c r="H103" s="53"/>
      <c r="I103" s="53"/>
      <c r="J103" s="53"/>
      <c r="K103" s="53"/>
      <c r="L103" s="53"/>
      <c r="M103" s="53"/>
      <c r="N103" s="53"/>
    </row>
    <row r="104" spans="1:14" s="1" customFormat="1" x14ac:dyDescent="0.4">
      <c r="B104" s="412"/>
      <c r="C104" s="413"/>
      <c r="D104" s="413"/>
      <c r="E104" s="413"/>
      <c r="F104" s="413"/>
      <c r="G104" s="414"/>
    </row>
    <row r="105" spans="1:14" x14ac:dyDescent="0.4">
      <c r="A105" s="2"/>
      <c r="B105" s="415" t="s">
        <v>1003</v>
      </c>
      <c r="C105" s="416"/>
      <c r="D105" s="416"/>
      <c r="E105" s="416"/>
      <c r="F105" s="416"/>
      <c r="G105" s="417"/>
      <c r="H105" s="53"/>
      <c r="I105" s="53"/>
      <c r="J105" s="53"/>
      <c r="K105" s="53"/>
      <c r="L105" s="53"/>
      <c r="M105" s="53"/>
      <c r="N105" s="53"/>
    </row>
    <row r="106" spans="1:14" x14ac:dyDescent="0.4">
      <c r="A106" s="2"/>
      <c r="B106" s="418" t="s">
        <v>85</v>
      </c>
      <c r="C106" s="419"/>
      <c r="D106" s="419"/>
      <c r="E106" s="419"/>
      <c r="F106" s="419"/>
      <c r="G106" s="420"/>
      <c r="H106" s="53"/>
      <c r="I106" s="53"/>
      <c r="J106" s="53"/>
      <c r="K106" s="53"/>
      <c r="L106" s="53"/>
      <c r="M106" s="53"/>
      <c r="N106" s="53"/>
    </row>
    <row r="107" spans="1:14" x14ac:dyDescent="0.4">
      <c r="A107" s="2"/>
      <c r="B107" s="363"/>
      <c r="C107" s="368"/>
      <c r="D107" s="368"/>
      <c r="E107" s="368"/>
      <c r="F107" s="368"/>
      <c r="G107" s="369"/>
      <c r="H107" s="53"/>
      <c r="I107" s="53"/>
      <c r="J107" s="53"/>
      <c r="K107" s="53"/>
      <c r="L107" s="53"/>
      <c r="M107" s="53"/>
      <c r="N107" s="53"/>
    </row>
    <row r="108" spans="1:14" x14ac:dyDescent="0.4">
      <c r="C108" s="407"/>
      <c r="D108" s="407"/>
      <c r="E108" s="407"/>
      <c r="F108" s="407"/>
      <c r="G108" s="407"/>
      <c r="H108" s="53"/>
      <c r="I108" s="53"/>
    </row>
    <row r="109" spans="1:14" x14ac:dyDescent="0.4">
      <c r="A109" s="9">
        <v>14</v>
      </c>
      <c r="B109" s="61" t="s">
        <v>78</v>
      </c>
      <c r="C109" s="614" t="s">
        <v>41</v>
      </c>
      <c r="D109" s="615"/>
      <c r="E109" s="615"/>
      <c r="F109" s="615"/>
      <c r="G109" s="616"/>
    </row>
    <row r="110" spans="1:14" x14ac:dyDescent="0.4">
      <c r="A110" s="23"/>
      <c r="C110" s="69"/>
      <c r="D110" s="69"/>
      <c r="E110" s="69"/>
      <c r="F110" s="69"/>
      <c r="G110" s="69"/>
    </row>
    <row r="113" spans="2:8" ht="12.7" customHeight="1" x14ac:dyDescent="0.4">
      <c r="B113" s="548" t="s">
        <v>1004</v>
      </c>
      <c r="C113" s="549"/>
      <c r="D113" s="549"/>
      <c r="E113" s="549"/>
      <c r="F113" s="549"/>
      <c r="G113" s="549"/>
      <c r="H113" s="295"/>
    </row>
    <row r="115" spans="2:8" ht="25.55" customHeight="1" x14ac:dyDescent="0.4">
      <c r="B115" s="515" t="s">
        <v>1234</v>
      </c>
      <c r="C115" s="515"/>
      <c r="D115" s="515"/>
      <c r="E115" s="515"/>
      <c r="F115" s="515"/>
      <c r="G115" s="515"/>
    </row>
    <row r="117" spans="2:8" x14ac:dyDescent="0.4">
      <c r="G117" s="230"/>
    </row>
    <row r="118" spans="2:8" x14ac:dyDescent="0.4">
      <c r="D118" s="107"/>
      <c r="E118" s="107"/>
      <c r="G118" s="230"/>
    </row>
    <row r="119" spans="2:8" x14ac:dyDescent="0.4">
      <c r="E119" s="107"/>
    </row>
  </sheetData>
  <sheetProtection algorithmName="SHA-512" hashValue="6q1sq7rbYvESacTPBh+GxOypTLs0KD4KmFJmrrWiowWmuAzRsXkYNWM+kBXvlujQ//dbCIfcmmDlIJevjMASzA==" saltValue="k1Obm+hR/3n8YimX9Kq3LQ==" spinCount="100000" sheet="1" objects="1" scenarios="1"/>
  <mergeCells count="70">
    <mergeCell ref="D28:D31"/>
    <mergeCell ref="E28:E31"/>
    <mergeCell ref="B17:E17"/>
    <mergeCell ref="C18:E18"/>
    <mergeCell ref="C19:E19"/>
    <mergeCell ref="C20:E20"/>
    <mergeCell ref="C21:E21"/>
    <mergeCell ref="C22:E22"/>
    <mergeCell ref="B25:E25"/>
    <mergeCell ref="B26:E26"/>
    <mergeCell ref="C11:E11"/>
    <mergeCell ref="A1:B1"/>
    <mergeCell ref="C3:E3"/>
    <mergeCell ref="C5:E5"/>
    <mergeCell ref="B6:E6"/>
    <mergeCell ref="C8:E8"/>
    <mergeCell ref="B9:E9"/>
    <mergeCell ref="C43:E43"/>
    <mergeCell ref="B44:E44"/>
    <mergeCell ref="B46:E46"/>
    <mergeCell ref="B49:E49"/>
    <mergeCell ref="B51:E51"/>
    <mergeCell ref="B32:E32"/>
    <mergeCell ref="B34:E34"/>
    <mergeCell ref="B40:E40"/>
    <mergeCell ref="C41:E41"/>
    <mergeCell ref="C42:E42"/>
    <mergeCell ref="C37:E37"/>
    <mergeCell ref="B86:B91"/>
    <mergeCell ref="B92:B97"/>
    <mergeCell ref="B98:B103"/>
    <mergeCell ref="B70:N70"/>
    <mergeCell ref="C52:E53"/>
    <mergeCell ref="B52:B53"/>
    <mergeCell ref="B73:N73"/>
    <mergeCell ref="C54:E54"/>
    <mergeCell ref="C55:E55"/>
    <mergeCell ref="B56:E56"/>
    <mergeCell ref="B57:E57"/>
    <mergeCell ref="C59:E59"/>
    <mergeCell ref="B65:B66"/>
    <mergeCell ref="C65:C66"/>
    <mergeCell ref="D65:D66"/>
    <mergeCell ref="B71:N71"/>
    <mergeCell ref="B107:G107"/>
    <mergeCell ref="C108:G108"/>
    <mergeCell ref="B104:G104"/>
    <mergeCell ref="B105:G105"/>
    <mergeCell ref="B106:G106"/>
    <mergeCell ref="B72:N72"/>
    <mergeCell ref="C69:N69"/>
    <mergeCell ref="E65:E66"/>
    <mergeCell ref="F65:H65"/>
    <mergeCell ref="I65:K65"/>
    <mergeCell ref="C109:G109"/>
    <mergeCell ref="L65:N65"/>
    <mergeCell ref="B115:G115"/>
    <mergeCell ref="B113:G113"/>
    <mergeCell ref="B12:E12"/>
    <mergeCell ref="C14:E14"/>
    <mergeCell ref="B15:E15"/>
    <mergeCell ref="C35:E35"/>
    <mergeCell ref="C36:E36"/>
    <mergeCell ref="B74:N74"/>
    <mergeCell ref="B75:N75"/>
    <mergeCell ref="B77:G77"/>
    <mergeCell ref="B80:B85"/>
    <mergeCell ref="F80:F103"/>
    <mergeCell ref="G80:G103"/>
    <mergeCell ref="C63:E63"/>
  </mergeCells>
  <pageMargins left="0" right="0" top="0.42499999999999999" bottom="0.75" header="0.10625" footer="0.3"/>
  <pageSetup paperSize="5" scale="82" orientation="landscape" verticalDpi="300" r:id="rId1"/>
  <rowBreaks count="2" manualBreakCount="2">
    <brk id="45" max="16383" man="1"/>
    <brk id="76"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N106"/>
  <sheetViews>
    <sheetView view="pageBreakPreview" topLeftCell="A40" zoomScale="60" zoomScaleNormal="100" zoomScalePageLayoutView="50" workbookViewId="0">
      <selection activeCell="C5" sqref="C5:G5"/>
    </sheetView>
  </sheetViews>
  <sheetFormatPr defaultColWidth="8.84375" defaultRowHeight="13.25" x14ac:dyDescent="0.4"/>
  <cols>
    <col min="1" max="1" width="8.84375" style="8"/>
    <col min="2" max="2" width="40.84375" style="8" customWidth="1"/>
    <col min="3" max="3" width="31.3046875" style="8" customWidth="1"/>
    <col min="4" max="4" width="19.3046875" style="8" customWidth="1"/>
    <col min="5" max="5" width="22.3046875" style="8" customWidth="1"/>
    <col min="6" max="6" width="11.3046875" style="8" customWidth="1"/>
    <col min="7" max="7" width="12.69140625" style="8" customWidth="1"/>
    <col min="8" max="16384" width="8.84375" style="8"/>
  </cols>
  <sheetData>
    <row r="1" spans="1:8" x14ac:dyDescent="0.4">
      <c r="A1" s="355" t="s">
        <v>0</v>
      </c>
      <c r="B1" s="355"/>
      <c r="D1" s="1"/>
    </row>
    <row r="3" spans="1:8" ht="16.45" customHeight="1" x14ac:dyDescent="0.4">
      <c r="A3" s="2" t="s">
        <v>1</v>
      </c>
      <c r="B3" s="3" t="s">
        <v>2</v>
      </c>
      <c r="C3" s="515" t="s">
        <v>1005</v>
      </c>
      <c r="D3" s="515"/>
      <c r="E3" s="515"/>
    </row>
    <row r="4" spans="1:8" x14ac:dyDescent="0.4">
      <c r="C4" s="23"/>
      <c r="D4" s="5"/>
      <c r="E4" s="23"/>
    </row>
    <row r="5" spans="1:8" x14ac:dyDescent="0.4">
      <c r="A5" s="36">
        <v>1</v>
      </c>
      <c r="B5" s="3" t="s">
        <v>3</v>
      </c>
      <c r="C5" s="497" t="s">
        <v>702</v>
      </c>
      <c r="D5" s="497"/>
      <c r="E5" s="497"/>
    </row>
    <row r="6" spans="1:8" x14ac:dyDescent="0.4">
      <c r="A6" s="9"/>
      <c r="B6" s="480" t="s">
        <v>5</v>
      </c>
      <c r="C6" s="480"/>
      <c r="D6" s="480"/>
      <c r="E6" s="480"/>
    </row>
    <row r="7" spans="1:8" x14ac:dyDescent="0.4">
      <c r="A7" s="9"/>
      <c r="B7" s="11"/>
      <c r="D7" s="5"/>
    </row>
    <row r="8" spans="1:8" x14ac:dyDescent="0.4">
      <c r="A8" s="9">
        <v>2</v>
      </c>
      <c r="B8" s="3" t="s">
        <v>6</v>
      </c>
      <c r="C8" s="497" t="s">
        <v>1006</v>
      </c>
      <c r="D8" s="497"/>
      <c r="E8" s="497"/>
    </row>
    <row r="9" spans="1:8" x14ac:dyDescent="0.4">
      <c r="A9" s="9"/>
      <c r="B9" s="480" t="s">
        <v>5</v>
      </c>
      <c r="C9" s="480"/>
      <c r="D9" s="480"/>
      <c r="E9" s="480"/>
    </row>
    <row r="10" spans="1:8" x14ac:dyDescent="0.4">
      <c r="A10" s="9"/>
      <c r="B10" s="11"/>
      <c r="D10" s="5"/>
    </row>
    <row r="11" spans="1:8" x14ac:dyDescent="0.4">
      <c r="A11" s="9">
        <v>3</v>
      </c>
      <c r="B11" s="3" t="s">
        <v>7</v>
      </c>
      <c r="C11" s="458" t="s">
        <v>1109</v>
      </c>
      <c r="D11" s="458"/>
      <c r="E11" s="458"/>
    </row>
    <row r="12" spans="1:8" x14ac:dyDescent="0.4">
      <c r="A12" s="9"/>
      <c r="B12" s="480" t="s">
        <v>5</v>
      </c>
      <c r="C12" s="480"/>
      <c r="D12" s="480"/>
      <c r="E12" s="480"/>
    </row>
    <row r="13" spans="1:8" x14ac:dyDescent="0.4">
      <c r="A13" s="9"/>
      <c r="B13" s="11"/>
      <c r="D13" s="5"/>
    </row>
    <row r="14" spans="1:8" x14ac:dyDescent="0.4">
      <c r="A14" s="9">
        <v>4</v>
      </c>
      <c r="B14" s="3" t="s">
        <v>9</v>
      </c>
      <c r="C14" s="497" t="s">
        <v>1007</v>
      </c>
      <c r="D14" s="497"/>
      <c r="E14" s="497"/>
    </row>
    <row r="15" spans="1:8" ht="13.5" customHeight="1" x14ac:dyDescent="0.4">
      <c r="A15" s="9"/>
      <c r="B15" s="480" t="s">
        <v>10</v>
      </c>
      <c r="C15" s="480"/>
      <c r="D15" s="480"/>
      <c r="E15" s="480"/>
    </row>
    <row r="16" spans="1:8" x14ac:dyDescent="0.4">
      <c r="A16" s="9"/>
      <c r="D16" s="5"/>
      <c r="H16" s="8" t="s">
        <v>693</v>
      </c>
    </row>
    <row r="17" spans="1:14" x14ac:dyDescent="0.4">
      <c r="A17" s="9">
        <v>5</v>
      </c>
      <c r="B17" s="365" t="s">
        <v>1082</v>
      </c>
      <c r="C17" s="366"/>
      <c r="D17" s="366"/>
      <c r="E17" s="366"/>
      <c r="F17" s="11"/>
      <c r="G17" s="11" t="s">
        <v>693</v>
      </c>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25.65" x14ac:dyDescent="0.4">
      <c r="A19" s="9"/>
      <c r="B19" s="14" t="s">
        <v>1079</v>
      </c>
      <c r="C19" s="367" t="s">
        <v>560</v>
      </c>
      <c r="D19" s="367"/>
      <c r="E19" s="367"/>
      <c r="F19" s="15"/>
      <c r="G19" s="13"/>
      <c r="I19" s="13"/>
      <c r="J19" s="13"/>
      <c r="K19" s="13"/>
      <c r="L19" s="13"/>
      <c r="M19" s="13"/>
      <c r="N19" s="13"/>
    </row>
    <row r="20" spans="1:14" x14ac:dyDescent="0.4">
      <c r="A20" s="9"/>
      <c r="B20" s="14" t="s">
        <v>605</v>
      </c>
      <c r="C20" s="367" t="s">
        <v>560</v>
      </c>
      <c r="D20" s="367"/>
      <c r="E20" s="36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x14ac:dyDescent="0.4">
      <c r="A28" s="9"/>
      <c r="B28" s="19" t="s">
        <v>24</v>
      </c>
      <c r="C28" s="21">
        <v>317.77999999999997</v>
      </c>
      <c r="D28" s="540" t="s">
        <v>264</v>
      </c>
      <c r="E28" s="540" t="s">
        <v>203</v>
      </c>
      <c r="F28" s="15"/>
    </row>
    <row r="29" spans="1:14" x14ac:dyDescent="0.4">
      <c r="A29" s="9"/>
      <c r="B29" s="19" t="s">
        <v>25</v>
      </c>
      <c r="C29" s="21">
        <v>28.89</v>
      </c>
      <c r="D29" s="541"/>
      <c r="E29" s="541"/>
      <c r="F29" s="15"/>
    </row>
    <row r="30" spans="1:14" x14ac:dyDescent="0.4">
      <c r="A30" s="9"/>
      <c r="B30" s="19" t="s">
        <v>26</v>
      </c>
      <c r="C30" s="21">
        <v>276.16000000000003</v>
      </c>
      <c r="D30" s="541"/>
      <c r="E30" s="541"/>
      <c r="F30" s="15"/>
    </row>
    <row r="31" spans="1:14" x14ac:dyDescent="0.4">
      <c r="A31" s="9"/>
      <c r="B31" s="19" t="s">
        <v>27</v>
      </c>
      <c r="C31" s="21">
        <v>241.88</v>
      </c>
      <c r="D31" s="542"/>
      <c r="E31" s="542"/>
      <c r="F31" s="15"/>
    </row>
    <row r="32" spans="1:14" x14ac:dyDescent="0.4">
      <c r="A32" s="9"/>
      <c r="B32" s="363" t="s">
        <v>709</v>
      </c>
      <c r="C32" s="368"/>
      <c r="D32" s="368"/>
      <c r="E32" s="369"/>
      <c r="F32" s="15"/>
    </row>
    <row r="33" spans="1:10" x14ac:dyDescent="0.4">
      <c r="A33" s="9"/>
      <c r="B33" s="13"/>
      <c r="C33" s="15"/>
      <c r="D33" s="15"/>
      <c r="E33" s="15"/>
      <c r="F33" s="15"/>
    </row>
    <row r="34" spans="1:10" x14ac:dyDescent="0.4">
      <c r="A34" s="9">
        <v>7</v>
      </c>
      <c r="B34" s="365" t="s">
        <v>28</v>
      </c>
      <c r="C34" s="365"/>
      <c r="D34" s="365"/>
      <c r="E34" s="365"/>
      <c r="F34" s="11"/>
      <c r="G34" s="11"/>
      <c r="H34" s="11"/>
      <c r="I34" s="11"/>
      <c r="J34" s="11"/>
    </row>
    <row r="35" spans="1:10" x14ac:dyDescent="0.4">
      <c r="A35" s="9"/>
      <c r="B35" s="17" t="s">
        <v>29</v>
      </c>
      <c r="C35" s="446" t="s">
        <v>30</v>
      </c>
      <c r="D35" s="446"/>
      <c r="E35" s="446"/>
      <c r="F35" s="13"/>
    </row>
    <row r="36" spans="1:10" x14ac:dyDescent="0.4">
      <c r="A36" s="9"/>
      <c r="B36" s="17" t="s">
        <v>31</v>
      </c>
      <c r="C36" s="446" t="s">
        <v>320</v>
      </c>
      <c r="D36" s="446"/>
      <c r="E36" s="446"/>
      <c r="F36" s="13"/>
    </row>
    <row r="37" spans="1:10" x14ac:dyDescent="0.4">
      <c r="A37" s="9"/>
      <c r="B37" s="17" t="s">
        <v>32</v>
      </c>
      <c r="C37" s="446" t="s">
        <v>201</v>
      </c>
      <c r="D37" s="446"/>
      <c r="E37" s="446"/>
      <c r="F37" s="13"/>
    </row>
    <row r="38" spans="1:10" x14ac:dyDescent="0.4">
      <c r="A38" s="9"/>
      <c r="C38" s="13"/>
      <c r="D38" s="13"/>
      <c r="E38" s="13"/>
      <c r="F38" s="13"/>
    </row>
    <row r="39" spans="1:10" x14ac:dyDescent="0.4">
      <c r="A39" s="9"/>
      <c r="B39" s="15"/>
      <c r="C39" s="13"/>
      <c r="D39" s="13"/>
      <c r="E39" s="13"/>
      <c r="F39" s="13"/>
    </row>
    <row r="40" spans="1:10" x14ac:dyDescent="0.4">
      <c r="A40" s="9">
        <v>8</v>
      </c>
      <c r="B40" s="365" t="s">
        <v>1084</v>
      </c>
      <c r="C40" s="365"/>
      <c r="D40" s="365"/>
      <c r="E40" s="365"/>
      <c r="F40" s="11"/>
      <c r="G40" s="11"/>
      <c r="H40" s="11"/>
      <c r="I40" s="11"/>
      <c r="J40" s="11"/>
    </row>
    <row r="41" spans="1:10" x14ac:dyDescent="0.4">
      <c r="A41" s="9"/>
      <c r="B41" s="17" t="s">
        <v>34</v>
      </c>
      <c r="C41" s="446" t="s">
        <v>730</v>
      </c>
      <c r="D41" s="446"/>
      <c r="E41" s="446"/>
      <c r="F41" s="13"/>
    </row>
    <row r="42" spans="1:10" ht="15.05" x14ac:dyDescent="0.45">
      <c r="A42" s="9"/>
      <c r="B42" s="17" t="s">
        <v>31</v>
      </c>
      <c r="C42" s="446" t="s">
        <v>320</v>
      </c>
      <c r="D42" s="446"/>
      <c r="E42" s="446"/>
      <c r="F42" s="182"/>
      <c r="I42" s="182"/>
    </row>
    <row r="43" spans="1:10" x14ac:dyDescent="0.4">
      <c r="A43" s="9"/>
      <c r="B43" s="17" t="s">
        <v>32</v>
      </c>
      <c r="C43" s="446" t="s">
        <v>201</v>
      </c>
      <c r="D43" s="446"/>
      <c r="E43" s="446"/>
      <c r="F43" s="13"/>
      <c r="G43" s="8" t="s">
        <v>693</v>
      </c>
    </row>
    <row r="44" spans="1:10" x14ac:dyDescent="0.4">
      <c r="A44" s="9"/>
      <c r="B44" s="363" t="s">
        <v>1034</v>
      </c>
      <c r="C44" s="368"/>
      <c r="D44" s="368"/>
      <c r="E44" s="369"/>
      <c r="F44" s="13"/>
    </row>
    <row r="45" spans="1:10" x14ac:dyDescent="0.4">
      <c r="A45" s="2"/>
      <c r="D45" s="23"/>
      <c r="E45" s="13"/>
    </row>
    <row r="46" spans="1:10" x14ac:dyDescent="0.4">
      <c r="A46" s="24">
        <v>9</v>
      </c>
      <c r="B46" s="376" t="s">
        <v>1085</v>
      </c>
      <c r="C46" s="365"/>
      <c r="D46" s="365"/>
      <c r="E46" s="365"/>
      <c r="F46" s="25"/>
      <c r="G46" s="11"/>
      <c r="H46" s="11"/>
      <c r="I46" s="11"/>
    </row>
    <row r="47" spans="1:10" ht="25.65" x14ac:dyDescent="0.4">
      <c r="A47" s="24"/>
      <c r="B47" s="26" t="s">
        <v>37</v>
      </c>
      <c r="C47" s="27" t="s">
        <v>38</v>
      </c>
      <c r="D47" s="28" t="s">
        <v>39</v>
      </c>
      <c r="E47" s="27" t="s">
        <v>206</v>
      </c>
    </row>
    <row r="48" spans="1:10" ht="106.05" x14ac:dyDescent="0.4">
      <c r="A48" s="29"/>
      <c r="B48" s="30" t="s">
        <v>1008</v>
      </c>
      <c r="C48" s="30" t="s">
        <v>1009</v>
      </c>
      <c r="D48" s="117" t="s">
        <v>186</v>
      </c>
      <c r="E48" s="117" t="s">
        <v>186</v>
      </c>
    </row>
    <row r="49" spans="1:14" x14ac:dyDescent="0.4">
      <c r="A49" s="31"/>
      <c r="B49" s="380" t="s">
        <v>1110</v>
      </c>
      <c r="C49" s="381"/>
      <c r="D49" s="381"/>
      <c r="E49" s="382"/>
      <c r="F49" s="15"/>
      <c r="G49" s="15"/>
      <c r="H49" s="15"/>
    </row>
    <row r="50" spans="1:14" x14ac:dyDescent="0.4">
      <c r="A50" s="32"/>
      <c r="B50" s="62"/>
      <c r="C50" s="23"/>
      <c r="D50" s="23"/>
      <c r="E50" s="23"/>
      <c r="F50" s="15"/>
      <c r="G50" s="15"/>
      <c r="H50" s="15"/>
      <c r="I50" s="15"/>
    </row>
    <row r="51" spans="1:14" x14ac:dyDescent="0.4">
      <c r="A51" s="24">
        <v>10</v>
      </c>
      <c r="B51" s="376" t="s">
        <v>1085</v>
      </c>
      <c r="C51" s="365"/>
      <c r="D51" s="365"/>
      <c r="E51" s="365"/>
      <c r="F51" s="15"/>
      <c r="G51" s="15" t="s">
        <v>693</v>
      </c>
      <c r="H51" s="15"/>
    </row>
    <row r="52" spans="1:14" x14ac:dyDescent="0.4">
      <c r="A52" s="29"/>
      <c r="B52" s="452" t="s">
        <v>43</v>
      </c>
      <c r="C52" s="461" t="s">
        <v>1010</v>
      </c>
      <c r="D52" s="462"/>
      <c r="E52" s="463"/>
      <c r="K52" s="1"/>
    </row>
    <row r="53" spans="1:14" ht="48.05" customHeight="1" x14ac:dyDescent="0.4">
      <c r="A53" s="29"/>
      <c r="B53" s="453"/>
      <c r="C53" s="464"/>
      <c r="D53" s="465"/>
      <c r="E53" s="466"/>
      <c r="K53" s="1"/>
    </row>
    <row r="54" spans="1:14" x14ac:dyDescent="0.4">
      <c r="A54" s="24"/>
      <c r="B54" s="33" t="s">
        <v>44</v>
      </c>
      <c r="C54" s="391" t="s">
        <v>186</v>
      </c>
      <c r="D54" s="391"/>
      <c r="E54" s="391"/>
    </row>
    <row r="55" spans="1:14" x14ac:dyDescent="0.4">
      <c r="A55" s="29"/>
      <c r="B55" s="33" t="s">
        <v>45</v>
      </c>
      <c r="C55" s="471" t="s">
        <v>46</v>
      </c>
      <c r="D55" s="472"/>
      <c r="E55" s="473"/>
      <c r="K55" s="34"/>
    </row>
    <row r="56" spans="1:14" x14ac:dyDescent="0.4">
      <c r="A56" s="29"/>
      <c r="B56" s="380" t="s">
        <v>1110</v>
      </c>
      <c r="C56" s="381"/>
      <c r="D56" s="381"/>
      <c r="E56" s="382"/>
      <c r="K56" s="34"/>
    </row>
    <row r="57" spans="1:14" s="63" customFormat="1" x14ac:dyDescent="0.35">
      <c r="A57" s="35" t="s">
        <v>47</v>
      </c>
      <c r="B57" s="392" t="s">
        <v>48</v>
      </c>
      <c r="C57" s="392"/>
      <c r="D57" s="392"/>
      <c r="E57" s="392"/>
      <c r="G57" s="296"/>
    </row>
    <row r="58" spans="1:14" x14ac:dyDescent="0.4">
      <c r="A58" s="40"/>
      <c r="B58" s="41"/>
      <c r="C58" s="42"/>
      <c r="D58" s="42"/>
      <c r="E58" s="42"/>
      <c r="F58" s="42"/>
      <c r="G58" s="230"/>
    </row>
    <row r="59" spans="1:14" x14ac:dyDescent="0.4">
      <c r="A59" s="9">
        <v>11</v>
      </c>
      <c r="B59" s="3" t="s">
        <v>49</v>
      </c>
      <c r="C59" s="393" t="s">
        <v>1031</v>
      </c>
      <c r="D59" s="393"/>
      <c r="E59" s="393"/>
      <c r="F59" s="11"/>
      <c r="G59" s="282"/>
      <c r="H59" s="43"/>
      <c r="I59" s="11"/>
      <c r="J59" s="11"/>
    </row>
    <row r="60" spans="1:14" x14ac:dyDescent="0.4">
      <c r="A60" s="9"/>
      <c r="B60" s="15"/>
      <c r="C60" s="15"/>
      <c r="D60" s="15"/>
      <c r="E60" s="15"/>
      <c r="F60" s="15"/>
      <c r="G60" s="118"/>
      <c r="H60" s="44"/>
      <c r="I60" s="44"/>
      <c r="J60" s="15"/>
    </row>
    <row r="61" spans="1:14" x14ac:dyDescent="0.4">
      <c r="A61" s="9">
        <v>12</v>
      </c>
      <c r="B61" s="11" t="s">
        <v>51</v>
      </c>
      <c r="C61" s="11"/>
      <c r="D61" s="11"/>
      <c r="E61" s="43"/>
      <c r="F61" s="43"/>
      <c r="G61" s="282"/>
      <c r="H61" s="11"/>
      <c r="I61" s="11"/>
      <c r="J61" s="11"/>
      <c r="K61" s="11"/>
      <c r="L61" s="11"/>
      <c r="M61" s="11"/>
      <c r="N61" s="11"/>
    </row>
    <row r="62" spans="1:14" x14ac:dyDescent="0.4">
      <c r="A62" s="9"/>
      <c r="B62" s="11"/>
      <c r="C62" s="11"/>
      <c r="D62" s="11"/>
      <c r="E62" s="43"/>
      <c r="F62" s="43"/>
      <c r="G62" s="43"/>
      <c r="H62" s="11"/>
      <c r="I62" s="11"/>
      <c r="J62" s="11"/>
      <c r="K62" s="11"/>
      <c r="L62" s="11"/>
      <c r="M62" s="11"/>
      <c r="N62" s="11"/>
    </row>
    <row r="63" spans="1:14" x14ac:dyDescent="0.4">
      <c r="A63" s="9"/>
      <c r="B63" s="17" t="s">
        <v>52</v>
      </c>
      <c r="C63" s="19" t="s">
        <v>777</v>
      </c>
      <c r="D63" s="15"/>
      <c r="E63" s="15"/>
      <c r="F63" s="44"/>
      <c r="G63" s="44"/>
      <c r="H63" s="15"/>
      <c r="I63" s="15"/>
      <c r="J63" s="15"/>
      <c r="K63" s="15"/>
      <c r="L63" s="15"/>
      <c r="M63" s="15"/>
      <c r="N63" s="15"/>
    </row>
    <row r="64" spans="1:14" x14ac:dyDescent="0.4">
      <c r="A64" s="9"/>
      <c r="B64" s="15"/>
      <c r="C64" s="15"/>
      <c r="D64" s="118"/>
      <c r="E64" s="118"/>
      <c r="F64" s="15"/>
      <c r="G64" s="15"/>
      <c r="H64" s="15"/>
      <c r="I64" s="15"/>
      <c r="J64" s="15"/>
      <c r="K64" s="15"/>
      <c r="L64" s="15"/>
      <c r="M64" s="15"/>
      <c r="N64" s="15"/>
    </row>
    <row r="65" spans="1:14" x14ac:dyDescent="0.4">
      <c r="A65" s="9"/>
      <c r="B65" s="365" t="s">
        <v>53</v>
      </c>
      <c r="C65" s="366" t="s">
        <v>1011</v>
      </c>
      <c r="D65" s="366" t="s">
        <v>271</v>
      </c>
      <c r="E65" s="403" t="s">
        <v>232</v>
      </c>
      <c r="F65" s="395" t="s">
        <v>626</v>
      </c>
      <c r="G65" s="396"/>
      <c r="H65" s="397"/>
      <c r="I65" s="398" t="s">
        <v>55</v>
      </c>
      <c r="J65" s="398"/>
      <c r="K65" s="398"/>
      <c r="L65" s="398" t="s">
        <v>56</v>
      </c>
      <c r="M65" s="398"/>
      <c r="N65" s="398"/>
    </row>
    <row r="66" spans="1:14" ht="38.450000000000003" x14ac:dyDescent="0.4">
      <c r="A66" s="2"/>
      <c r="B66" s="365"/>
      <c r="C66" s="402"/>
      <c r="D66" s="402"/>
      <c r="E66" s="404"/>
      <c r="F66" s="17" t="s">
        <v>57</v>
      </c>
      <c r="G66" s="17" t="s">
        <v>58</v>
      </c>
      <c r="H66" s="17" t="s">
        <v>59</v>
      </c>
      <c r="I66" s="17" t="s">
        <v>60</v>
      </c>
      <c r="J66" s="17" t="s">
        <v>58</v>
      </c>
      <c r="K66" s="17" t="s">
        <v>59</v>
      </c>
      <c r="L66" s="17" t="s">
        <v>60</v>
      </c>
      <c r="M66" s="17" t="s">
        <v>58</v>
      </c>
      <c r="N66" s="17" t="s">
        <v>59</v>
      </c>
    </row>
    <row r="67" spans="1:14" x14ac:dyDescent="0.4">
      <c r="A67" s="2"/>
      <c r="B67" s="17" t="s">
        <v>61</v>
      </c>
      <c r="C67" s="284">
        <v>68.25</v>
      </c>
      <c r="D67" s="101">
        <v>57.7</v>
      </c>
      <c r="E67" s="101">
        <v>55</v>
      </c>
      <c r="F67" s="101">
        <v>40.25</v>
      </c>
      <c r="G67" s="101">
        <v>71.650000000000006</v>
      </c>
      <c r="H67" s="101">
        <v>38.5</v>
      </c>
      <c r="I67" s="45" t="s">
        <v>41</v>
      </c>
      <c r="J67" s="45" t="s">
        <v>41</v>
      </c>
      <c r="K67" s="45" t="s">
        <v>41</v>
      </c>
      <c r="L67" s="45" t="s">
        <v>41</v>
      </c>
      <c r="M67" s="45" t="s">
        <v>41</v>
      </c>
      <c r="N67" s="45" t="s">
        <v>41</v>
      </c>
    </row>
    <row r="68" spans="1:14" ht="26.5" x14ac:dyDescent="0.4">
      <c r="A68" s="2"/>
      <c r="B68" s="17" t="s">
        <v>216</v>
      </c>
      <c r="C68" s="284">
        <v>57625.91</v>
      </c>
      <c r="D68" s="284" t="s">
        <v>1012</v>
      </c>
      <c r="E68" s="101">
        <v>60747.31</v>
      </c>
      <c r="F68" s="101">
        <v>58991.519999999997</v>
      </c>
      <c r="G68" s="101">
        <v>63583.07</v>
      </c>
      <c r="H68" s="101">
        <v>57055.75</v>
      </c>
      <c r="I68" s="45" t="s">
        <v>41</v>
      </c>
      <c r="J68" s="45" t="s">
        <v>41</v>
      </c>
      <c r="K68" s="45" t="s">
        <v>41</v>
      </c>
      <c r="L68" s="45" t="s">
        <v>41</v>
      </c>
      <c r="M68" s="45" t="s">
        <v>41</v>
      </c>
      <c r="N68" s="45" t="s">
        <v>41</v>
      </c>
    </row>
    <row r="69" spans="1:14" x14ac:dyDescent="0.4">
      <c r="A69" s="2"/>
      <c r="B69" s="17" t="s">
        <v>1087</v>
      </c>
      <c r="C69" s="546" t="s">
        <v>83</v>
      </c>
      <c r="D69" s="546"/>
      <c r="E69" s="546"/>
      <c r="F69" s="546"/>
      <c r="G69" s="546"/>
      <c r="H69" s="546"/>
      <c r="I69" s="546"/>
      <c r="J69" s="546"/>
      <c r="K69" s="546"/>
      <c r="L69" s="546"/>
      <c r="M69" s="546"/>
      <c r="N69" s="546"/>
    </row>
    <row r="70" spans="1:14" x14ac:dyDescent="0.4">
      <c r="A70" s="2"/>
      <c r="B70" s="399" t="s">
        <v>1101</v>
      </c>
      <c r="C70" s="399"/>
      <c r="D70" s="399"/>
      <c r="E70" s="399"/>
      <c r="F70" s="399"/>
      <c r="G70" s="399"/>
      <c r="H70" s="399"/>
      <c r="I70" s="399"/>
      <c r="J70" s="399"/>
      <c r="K70" s="399"/>
      <c r="L70" s="399"/>
      <c r="M70" s="399"/>
      <c r="N70" s="399"/>
    </row>
    <row r="71" spans="1:14" x14ac:dyDescent="0.4">
      <c r="A71" s="2"/>
      <c r="B71" s="545" t="s">
        <v>17</v>
      </c>
      <c r="C71" s="545"/>
      <c r="D71" s="545"/>
      <c r="E71" s="545"/>
      <c r="F71" s="545"/>
      <c r="G71" s="545"/>
      <c r="H71" s="545"/>
      <c r="I71" s="545"/>
      <c r="J71" s="545"/>
      <c r="K71" s="545"/>
      <c r="L71" s="545"/>
      <c r="M71" s="545"/>
      <c r="N71" s="545"/>
    </row>
    <row r="72" spans="1:14" x14ac:dyDescent="0.4">
      <c r="A72" s="2"/>
      <c r="B72" s="480" t="s">
        <v>63</v>
      </c>
      <c r="C72" s="480"/>
      <c r="D72" s="480"/>
      <c r="E72" s="480"/>
      <c r="F72" s="480"/>
      <c r="G72" s="480"/>
      <c r="H72" s="480"/>
      <c r="I72" s="480"/>
      <c r="J72" s="480"/>
      <c r="K72" s="480"/>
      <c r="L72" s="480"/>
      <c r="M72" s="480"/>
      <c r="N72" s="480"/>
    </row>
    <row r="73" spans="1:14" s="1" customFormat="1" x14ac:dyDescent="0.4">
      <c r="B73" s="474" t="s">
        <v>64</v>
      </c>
      <c r="C73" s="474"/>
      <c r="D73" s="474"/>
      <c r="E73" s="474"/>
      <c r="F73" s="474"/>
      <c r="G73" s="474"/>
      <c r="H73" s="474"/>
      <c r="I73" s="474"/>
      <c r="J73" s="474"/>
      <c r="K73" s="474"/>
      <c r="L73" s="474"/>
      <c r="M73" s="474"/>
      <c r="N73" s="474"/>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25.65" x14ac:dyDescent="0.4">
      <c r="A79" s="2"/>
      <c r="B79" s="50" t="s">
        <v>67</v>
      </c>
      <c r="C79" s="18" t="s">
        <v>68</v>
      </c>
      <c r="D79" s="18" t="s">
        <v>1127</v>
      </c>
      <c r="E79" s="18" t="s">
        <v>218</v>
      </c>
      <c r="F79" s="18" t="s">
        <v>71</v>
      </c>
      <c r="G79" s="18" t="s">
        <v>107</v>
      </c>
      <c r="H79" s="13"/>
      <c r="I79" s="13"/>
      <c r="J79" s="13"/>
      <c r="K79" s="13"/>
      <c r="L79" s="13"/>
      <c r="M79" s="13"/>
      <c r="N79" s="13"/>
    </row>
    <row r="80" spans="1:14" x14ac:dyDescent="0.35">
      <c r="A80" s="2"/>
      <c r="B80" s="394" t="s">
        <v>72</v>
      </c>
      <c r="C80" s="3" t="s">
        <v>1013</v>
      </c>
      <c r="D80" s="65">
        <v>0.69</v>
      </c>
      <c r="E80" s="52">
        <v>1.21</v>
      </c>
      <c r="F80" s="435" t="s">
        <v>326</v>
      </c>
      <c r="G80" s="435" t="s">
        <v>220</v>
      </c>
      <c r="H80" s="53"/>
      <c r="I80" s="53"/>
      <c r="J80" s="53"/>
      <c r="K80" s="53"/>
      <c r="L80" s="53"/>
      <c r="M80" s="53"/>
      <c r="N80" s="53"/>
    </row>
    <row r="81" spans="1:14" x14ac:dyDescent="0.4">
      <c r="A81" s="2"/>
      <c r="B81" s="394"/>
      <c r="C81" s="3" t="s">
        <v>1014</v>
      </c>
      <c r="D81" s="54" t="s">
        <v>1077</v>
      </c>
      <c r="E81" s="54" t="s">
        <v>1077</v>
      </c>
      <c r="F81" s="436"/>
      <c r="G81" s="436"/>
      <c r="H81" s="53"/>
      <c r="I81" s="53"/>
      <c r="J81" s="53"/>
      <c r="K81" s="53"/>
      <c r="L81" s="53"/>
      <c r="M81" s="53"/>
      <c r="N81" s="53"/>
    </row>
    <row r="82" spans="1:14" x14ac:dyDescent="0.4">
      <c r="A82" s="2"/>
      <c r="B82" s="394"/>
      <c r="C82" s="3" t="s">
        <v>74</v>
      </c>
      <c r="D82" s="127">
        <v>0</v>
      </c>
      <c r="E82" s="127">
        <v>0</v>
      </c>
      <c r="F82" s="436"/>
      <c r="G82" s="436"/>
      <c r="H82" s="53"/>
      <c r="I82" s="53"/>
      <c r="J82" s="53"/>
      <c r="K82" s="53"/>
      <c r="L82" s="53"/>
      <c r="M82" s="53"/>
      <c r="N82" s="53"/>
    </row>
    <row r="83" spans="1:14" x14ac:dyDescent="0.35">
      <c r="A83" s="2"/>
      <c r="B83" s="394" t="s">
        <v>75</v>
      </c>
      <c r="C83" s="3" t="s">
        <v>1013</v>
      </c>
      <c r="D83" s="77">
        <v>57.97</v>
      </c>
      <c r="E83" s="55">
        <f>F67/E80</f>
        <v>33.264462809917354</v>
      </c>
      <c r="F83" s="436"/>
      <c r="G83" s="436"/>
      <c r="H83" s="53"/>
      <c r="I83" s="53"/>
      <c r="J83" s="53"/>
      <c r="K83" s="53"/>
      <c r="L83" s="53"/>
      <c r="M83" s="53"/>
      <c r="N83" s="53"/>
    </row>
    <row r="84" spans="1:14" x14ac:dyDescent="0.4">
      <c r="A84" s="2"/>
      <c r="B84" s="394"/>
      <c r="C84" s="3" t="s">
        <v>109</v>
      </c>
      <c r="D84" s="54" t="s">
        <v>1077</v>
      </c>
      <c r="E84" s="54" t="s">
        <v>1077</v>
      </c>
      <c r="F84" s="436"/>
      <c r="G84" s="436"/>
      <c r="H84" s="53"/>
      <c r="I84" s="53"/>
      <c r="J84" s="53"/>
      <c r="K84" s="53"/>
      <c r="L84" s="53"/>
      <c r="M84" s="53"/>
      <c r="N84" s="53"/>
    </row>
    <row r="85" spans="1:14" x14ac:dyDescent="0.4">
      <c r="A85" s="2"/>
      <c r="B85" s="394"/>
      <c r="C85" s="3" t="s">
        <v>74</v>
      </c>
      <c r="D85" s="127">
        <v>0</v>
      </c>
      <c r="E85" s="127">
        <v>0</v>
      </c>
      <c r="F85" s="436"/>
      <c r="G85" s="436"/>
      <c r="H85" s="53"/>
      <c r="I85" s="53"/>
      <c r="J85" s="53"/>
      <c r="K85" s="53"/>
      <c r="L85" s="53"/>
      <c r="M85" s="53"/>
      <c r="N85" s="53"/>
    </row>
    <row r="86" spans="1:14" ht="14.6" x14ac:dyDescent="0.4">
      <c r="A86" s="2"/>
      <c r="B86" s="394" t="s">
        <v>76</v>
      </c>
      <c r="C86" s="3" t="s">
        <v>1013</v>
      </c>
      <c r="D86" s="97">
        <v>6.0499999999999998E-2</v>
      </c>
      <c r="E86" s="56">
        <f>28.89/518.04</f>
        <v>5.5767894371091038E-2</v>
      </c>
      <c r="F86" s="436"/>
      <c r="G86" s="436"/>
      <c r="H86" s="53"/>
      <c r="I86" t="s">
        <v>693</v>
      </c>
      <c r="J86"/>
      <c r="K86"/>
      <c r="L86"/>
      <c r="M86"/>
      <c r="N86"/>
    </row>
    <row r="87" spans="1:14" x14ac:dyDescent="0.4">
      <c r="A87" s="2"/>
      <c r="B87" s="394"/>
      <c r="C87" s="3" t="s">
        <v>109</v>
      </c>
      <c r="D87" s="54" t="s">
        <v>1077</v>
      </c>
      <c r="E87" s="54" t="s">
        <v>1077</v>
      </c>
      <c r="F87" s="436"/>
      <c r="G87" s="436"/>
      <c r="H87" s="53"/>
      <c r="I87" s="53"/>
      <c r="J87" s="53"/>
      <c r="K87" s="53"/>
      <c r="L87" s="53"/>
      <c r="M87" s="53"/>
      <c r="N87" s="53"/>
    </row>
    <row r="88" spans="1:14" x14ac:dyDescent="0.4">
      <c r="A88" s="2"/>
      <c r="B88" s="394"/>
      <c r="C88" s="3" t="s">
        <v>74</v>
      </c>
      <c r="D88" s="127">
        <v>0</v>
      </c>
      <c r="E88" s="127">
        <v>0</v>
      </c>
      <c r="F88" s="436"/>
      <c r="G88" s="436"/>
      <c r="H88" s="53"/>
      <c r="I88" s="53"/>
      <c r="J88" s="53"/>
      <c r="K88" s="53"/>
      <c r="L88" s="53"/>
      <c r="M88" s="53"/>
      <c r="N88" s="53"/>
    </row>
    <row r="89" spans="1:14" x14ac:dyDescent="0.35">
      <c r="A89" s="2"/>
      <c r="B89" s="394" t="s">
        <v>77</v>
      </c>
      <c r="C89" s="3" t="s">
        <v>1013</v>
      </c>
      <c r="D89" s="65">
        <v>11.34</v>
      </c>
      <c r="E89" s="55">
        <f>518.04/27.61</f>
        <v>18.76276711336472</v>
      </c>
      <c r="F89" s="436"/>
      <c r="G89" s="436"/>
      <c r="H89" s="53"/>
      <c r="I89" s="53"/>
      <c r="J89" s="53"/>
      <c r="K89" s="53"/>
      <c r="L89" s="53"/>
      <c r="M89" s="53"/>
      <c r="N89" s="53"/>
    </row>
    <row r="90" spans="1:14" x14ac:dyDescent="0.4">
      <c r="A90" s="2"/>
      <c r="B90" s="394"/>
      <c r="C90" s="3" t="s">
        <v>109</v>
      </c>
      <c r="D90" s="54" t="s">
        <v>1077</v>
      </c>
      <c r="E90" s="54" t="s">
        <v>1077</v>
      </c>
      <c r="F90" s="436"/>
      <c r="G90" s="436"/>
      <c r="H90" s="53"/>
      <c r="I90" s="53"/>
      <c r="J90" s="53"/>
      <c r="K90" s="53"/>
      <c r="L90" s="53"/>
      <c r="M90" s="53"/>
      <c r="N90" s="53"/>
    </row>
    <row r="91" spans="1:14" x14ac:dyDescent="0.4">
      <c r="A91" s="2"/>
      <c r="B91" s="411"/>
      <c r="C91" s="3" t="s">
        <v>74</v>
      </c>
      <c r="D91" s="127">
        <v>0</v>
      </c>
      <c r="E91" s="127">
        <v>0</v>
      </c>
      <c r="F91" s="436"/>
      <c r="G91" s="436"/>
      <c r="H91" s="53"/>
      <c r="I91" s="53"/>
      <c r="J91" s="53"/>
      <c r="K91" s="53"/>
      <c r="L91" s="53"/>
      <c r="M91" s="53"/>
      <c r="N91" s="53"/>
    </row>
    <row r="92" spans="1:14" s="1" customFormat="1" x14ac:dyDescent="0.4">
      <c r="B92" s="412"/>
      <c r="C92" s="413"/>
      <c r="D92" s="413"/>
      <c r="E92" s="413"/>
      <c r="F92" s="413"/>
      <c r="G92" s="414"/>
    </row>
    <row r="93" spans="1:14" x14ac:dyDescent="0.4">
      <c r="A93" s="2"/>
      <c r="B93" s="415" t="s">
        <v>1015</v>
      </c>
      <c r="C93" s="416"/>
      <c r="D93" s="416"/>
      <c r="E93" s="416"/>
      <c r="F93" s="416"/>
      <c r="G93" s="417"/>
      <c r="H93" s="53"/>
      <c r="I93" s="53" t="s">
        <v>693</v>
      </c>
      <c r="J93" s="53"/>
      <c r="K93" s="53"/>
      <c r="L93" s="53"/>
      <c r="M93" s="53"/>
      <c r="N93" s="53"/>
    </row>
    <row r="94" spans="1:14" x14ac:dyDescent="0.4">
      <c r="A94" s="2"/>
      <c r="B94" s="415" t="s">
        <v>1016</v>
      </c>
      <c r="C94" s="416"/>
      <c r="D94" s="416"/>
      <c r="E94" s="416"/>
      <c r="F94" s="416"/>
      <c r="G94" s="417"/>
      <c r="H94" s="53"/>
      <c r="I94" s="53"/>
      <c r="J94" s="53"/>
      <c r="K94" s="53"/>
      <c r="L94" s="53"/>
      <c r="M94" s="53"/>
      <c r="N94" s="53"/>
    </row>
    <row r="95" spans="1:14" x14ac:dyDescent="0.4">
      <c r="A95" s="2"/>
      <c r="B95" s="363"/>
      <c r="C95" s="368"/>
      <c r="D95" s="368"/>
      <c r="E95" s="368"/>
      <c r="F95" s="368"/>
      <c r="G95" s="369"/>
      <c r="H95" s="53"/>
      <c r="I95" s="53"/>
      <c r="J95" s="53"/>
      <c r="K95" s="53"/>
      <c r="L95" s="53"/>
      <c r="M95" s="53"/>
      <c r="N95" s="53"/>
    </row>
    <row r="96" spans="1:14" x14ac:dyDescent="0.4">
      <c r="C96" s="407"/>
      <c r="D96" s="407"/>
      <c r="E96" s="407"/>
      <c r="F96" s="407"/>
      <c r="G96" s="407"/>
      <c r="H96" s="53"/>
      <c r="I96" s="53"/>
    </row>
    <row r="97" spans="1:7" x14ac:dyDescent="0.4">
      <c r="A97" s="9">
        <v>14</v>
      </c>
      <c r="B97" s="61" t="s">
        <v>78</v>
      </c>
      <c r="C97" s="614" t="s">
        <v>41</v>
      </c>
      <c r="D97" s="615"/>
      <c r="E97" s="615"/>
      <c r="F97" s="615"/>
      <c r="G97" s="616"/>
    </row>
    <row r="98" spans="1:7" x14ac:dyDescent="0.4">
      <c r="C98" s="69"/>
      <c r="D98" s="69"/>
      <c r="E98" s="69"/>
      <c r="F98" s="69"/>
      <c r="G98" s="69"/>
    </row>
    <row r="100" spans="1:7" ht="12.7" customHeight="1" x14ac:dyDescent="0.4">
      <c r="B100" s="538" t="s">
        <v>1017</v>
      </c>
      <c r="C100" s="538"/>
      <c r="D100" s="538"/>
      <c r="E100" s="538"/>
      <c r="F100" s="538"/>
      <c r="G100" s="538"/>
    </row>
    <row r="102" spans="1:7" ht="25.55" customHeight="1" x14ac:dyDescent="0.4">
      <c r="B102" s="497" t="s">
        <v>1234</v>
      </c>
      <c r="C102" s="497"/>
      <c r="D102" s="497"/>
      <c r="E102" s="497"/>
      <c r="F102" s="497"/>
      <c r="G102" s="497"/>
    </row>
    <row r="104" spans="1:7" x14ac:dyDescent="0.4">
      <c r="C104" s="230"/>
      <c r="D104" s="230"/>
      <c r="G104" s="230"/>
    </row>
    <row r="105" spans="1:7" x14ac:dyDescent="0.4">
      <c r="D105" s="107"/>
      <c r="E105" s="107"/>
      <c r="G105" s="230"/>
    </row>
    <row r="106" spans="1:7" x14ac:dyDescent="0.4">
      <c r="E106" s="107"/>
    </row>
  </sheetData>
  <sheetProtection algorithmName="SHA-512" hashValue="mW5hluFhvtn6cUk8V8xVpDeVVTtGNEHxFp+8Y+qVPrKUUEB7wQyw+3Az9OEysG4BD2gAlQekEgkHcZLfRvtEYA==" saltValue="SZDZosCkFlzJDv5xpNb1zw==" spinCount="100000" sheet="1" objects="1" scenarios="1"/>
  <mergeCells count="69">
    <mergeCell ref="C11:E11"/>
    <mergeCell ref="A1:B1"/>
    <mergeCell ref="C3:E3"/>
    <mergeCell ref="C5:E5"/>
    <mergeCell ref="B6:E6"/>
    <mergeCell ref="C8:E8"/>
    <mergeCell ref="B9:E9"/>
    <mergeCell ref="B52:B53"/>
    <mergeCell ref="D28:D31"/>
    <mergeCell ref="E28:E31"/>
    <mergeCell ref="B17:E17"/>
    <mergeCell ref="C18:E18"/>
    <mergeCell ref="C19:E19"/>
    <mergeCell ref="C20:E20"/>
    <mergeCell ref="C21:E21"/>
    <mergeCell ref="C22:E22"/>
    <mergeCell ref="B25:E25"/>
    <mergeCell ref="B26:E26"/>
    <mergeCell ref="C52:E53"/>
    <mergeCell ref="B32:E32"/>
    <mergeCell ref="B34:E34"/>
    <mergeCell ref="B40:E40"/>
    <mergeCell ref="C41:E41"/>
    <mergeCell ref="C42:E42"/>
    <mergeCell ref="C43:E43"/>
    <mergeCell ref="B44:E44"/>
    <mergeCell ref="B46:E46"/>
    <mergeCell ref="B49:E49"/>
    <mergeCell ref="B51:E51"/>
    <mergeCell ref="C37:E37"/>
    <mergeCell ref="C97:G97"/>
    <mergeCell ref="B73:N73"/>
    <mergeCell ref="C54:E54"/>
    <mergeCell ref="C55:E55"/>
    <mergeCell ref="B56:E56"/>
    <mergeCell ref="B57:E57"/>
    <mergeCell ref="C59:E59"/>
    <mergeCell ref="B65:B66"/>
    <mergeCell ref="C65:C66"/>
    <mergeCell ref="D65:D66"/>
    <mergeCell ref="E65:E66"/>
    <mergeCell ref="F65:H65"/>
    <mergeCell ref="I65:K65"/>
    <mergeCell ref="L65:N65"/>
    <mergeCell ref="B74:N74"/>
    <mergeCell ref="B75:N75"/>
    <mergeCell ref="B77:G77"/>
    <mergeCell ref="B80:B82"/>
    <mergeCell ref="F80:F91"/>
    <mergeCell ref="G80:G91"/>
    <mergeCell ref="B83:B85"/>
    <mergeCell ref="B86:B88"/>
    <mergeCell ref="B89:B91"/>
    <mergeCell ref="C96:G96"/>
    <mergeCell ref="B102:G102"/>
    <mergeCell ref="B100:G100"/>
    <mergeCell ref="B12:E12"/>
    <mergeCell ref="C14:E14"/>
    <mergeCell ref="B15:E15"/>
    <mergeCell ref="C35:E35"/>
    <mergeCell ref="C36:E36"/>
    <mergeCell ref="B70:N70"/>
    <mergeCell ref="C69:N69"/>
    <mergeCell ref="B93:G93"/>
    <mergeCell ref="B94:G94"/>
    <mergeCell ref="B95:G95"/>
    <mergeCell ref="B71:N71"/>
    <mergeCell ref="B72:N72"/>
    <mergeCell ref="B92:G92"/>
  </mergeCells>
  <pageMargins left="0" right="0" top="0.42499999999999999" bottom="0.75" header="0.10625" footer="0.3"/>
  <pageSetup paperSize="5" scale="71" orientation="landscape" verticalDpi="300" r:id="rId1"/>
  <rowBreaks count="1" manualBreakCount="1">
    <brk id="50"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N107"/>
  <sheetViews>
    <sheetView view="pageBreakPreview" topLeftCell="A58" zoomScale="60" zoomScaleNormal="100" zoomScalePageLayoutView="50" workbookViewId="0">
      <selection activeCell="C5" sqref="C5:G5"/>
    </sheetView>
  </sheetViews>
  <sheetFormatPr defaultColWidth="8.84375" defaultRowHeight="13.25" x14ac:dyDescent="0.4"/>
  <cols>
    <col min="1" max="1" width="8.84375" style="8"/>
    <col min="2" max="2" width="40.84375" style="8" customWidth="1"/>
    <col min="3" max="3" width="29.3046875" style="8" customWidth="1"/>
    <col min="4" max="4" width="32.69140625" style="8" customWidth="1"/>
    <col min="5" max="5" width="22.3046875" style="8" customWidth="1"/>
    <col min="6" max="6" width="11.3046875" style="8" customWidth="1"/>
    <col min="7" max="7" width="12.69140625" style="8" customWidth="1"/>
    <col min="8" max="8" width="10.07421875" style="8" bestFit="1" customWidth="1"/>
    <col min="9" max="16384" width="8.84375" style="8"/>
  </cols>
  <sheetData>
    <row r="1" spans="1:5" x14ac:dyDescent="0.4">
      <c r="A1" s="355" t="s">
        <v>0</v>
      </c>
      <c r="B1" s="355"/>
      <c r="D1" s="1"/>
    </row>
    <row r="3" spans="1:5" ht="16.45" customHeight="1" x14ac:dyDescent="0.4">
      <c r="A3" s="2" t="s">
        <v>1</v>
      </c>
      <c r="B3" s="3" t="s">
        <v>2</v>
      </c>
      <c r="C3" s="515" t="s">
        <v>1018</v>
      </c>
      <c r="D3" s="515"/>
      <c r="E3" s="515"/>
    </row>
    <row r="4" spans="1:5" x14ac:dyDescent="0.4">
      <c r="C4" s="23"/>
      <c r="D4" s="5"/>
      <c r="E4" s="23"/>
    </row>
    <row r="5" spans="1:5" x14ac:dyDescent="0.4">
      <c r="A5" s="36">
        <v>1</v>
      </c>
      <c r="B5" s="3" t="s">
        <v>3</v>
      </c>
      <c r="C5" s="497" t="s">
        <v>1019</v>
      </c>
      <c r="D5" s="497"/>
      <c r="E5" s="497"/>
    </row>
    <row r="6" spans="1:5" x14ac:dyDescent="0.4">
      <c r="A6" s="9"/>
      <c r="B6" s="480" t="s">
        <v>5</v>
      </c>
      <c r="C6" s="480"/>
      <c r="D6" s="480"/>
      <c r="E6" s="480"/>
    </row>
    <row r="7" spans="1:5" x14ac:dyDescent="0.4">
      <c r="A7" s="9"/>
      <c r="B7" s="11"/>
      <c r="D7" s="5"/>
    </row>
    <row r="8" spans="1:5" x14ac:dyDescent="0.4">
      <c r="A8" s="9">
        <v>2</v>
      </c>
      <c r="B8" s="3" t="s">
        <v>6</v>
      </c>
      <c r="C8" s="497" t="s">
        <v>1020</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1021</v>
      </c>
      <c r="D14" s="497"/>
      <c r="E14" s="497"/>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t="s">
        <v>693</v>
      </c>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25.65" x14ac:dyDescent="0.4">
      <c r="A19" s="9"/>
      <c r="B19" s="14" t="s">
        <v>1079</v>
      </c>
      <c r="C19" s="367" t="s">
        <v>560</v>
      </c>
      <c r="D19" s="367"/>
      <c r="E19" s="367"/>
      <c r="F19" s="15"/>
      <c r="G19" s="13"/>
      <c r="I19" s="13"/>
      <c r="J19" s="13"/>
      <c r="K19" s="13"/>
      <c r="L19" s="13"/>
      <c r="M19" s="13"/>
      <c r="N19" s="13"/>
    </row>
    <row r="20" spans="1:14" ht="12.7" customHeight="1" x14ac:dyDescent="0.4">
      <c r="A20" s="9"/>
      <c r="B20" s="14" t="s">
        <v>605</v>
      </c>
      <c r="C20" s="367" t="s">
        <v>560</v>
      </c>
      <c r="D20" s="367"/>
      <c r="E20" s="367"/>
      <c r="F20" s="15"/>
      <c r="G20" s="13"/>
      <c r="H20" s="13"/>
      <c r="I20" s="13"/>
      <c r="J20" s="13"/>
      <c r="K20" s="13"/>
      <c r="L20" s="13"/>
      <c r="M20" s="13"/>
      <c r="N20" s="13"/>
    </row>
    <row r="21" spans="1:14" ht="12.7" customHeight="1"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1032</v>
      </c>
      <c r="D27" s="18" t="s">
        <v>263</v>
      </c>
      <c r="E27" s="18" t="s">
        <v>1033</v>
      </c>
      <c r="F27" s="15"/>
    </row>
    <row r="28" spans="1:14" ht="13.25" customHeight="1" x14ac:dyDescent="0.4">
      <c r="A28" s="9"/>
      <c r="B28" s="19" t="s">
        <v>24</v>
      </c>
      <c r="C28" s="120">
        <v>3374.5</v>
      </c>
      <c r="D28" s="540" t="s">
        <v>264</v>
      </c>
      <c r="E28" s="540" t="s">
        <v>203</v>
      </c>
      <c r="F28" s="15"/>
    </row>
    <row r="29" spans="1:14" x14ac:dyDescent="0.4">
      <c r="A29" s="9"/>
      <c r="B29" s="19" t="s">
        <v>25</v>
      </c>
      <c r="C29" s="120">
        <v>-429.53</v>
      </c>
      <c r="D29" s="541"/>
      <c r="E29" s="541"/>
      <c r="F29" s="15"/>
    </row>
    <row r="30" spans="1:14" x14ac:dyDescent="0.4">
      <c r="A30" s="9"/>
      <c r="B30" s="19" t="s">
        <v>26</v>
      </c>
      <c r="C30" s="120">
        <v>2250</v>
      </c>
      <c r="D30" s="541"/>
      <c r="E30" s="541"/>
      <c r="F30" s="15"/>
    </row>
    <row r="31" spans="1:14" x14ac:dyDescent="0.4">
      <c r="A31" s="9"/>
      <c r="B31" s="19" t="s">
        <v>27</v>
      </c>
      <c r="C31" s="120">
        <v>4641.8900000000003</v>
      </c>
      <c r="D31" s="542"/>
      <c r="E31" s="542"/>
      <c r="F31" s="15"/>
    </row>
    <row r="32" spans="1:14" x14ac:dyDescent="0.4">
      <c r="A32" s="9"/>
      <c r="B32" s="363" t="s">
        <v>1022</v>
      </c>
      <c r="C32" s="368"/>
      <c r="D32" s="368"/>
      <c r="E32" s="369"/>
      <c r="F32" s="15"/>
    </row>
    <row r="33" spans="1:10" x14ac:dyDescent="0.4">
      <c r="A33" s="9"/>
      <c r="B33" s="13"/>
      <c r="C33" s="15"/>
      <c r="D33" s="15"/>
      <c r="E33" s="15"/>
      <c r="F33" s="15"/>
    </row>
    <row r="34" spans="1:10" x14ac:dyDescent="0.4">
      <c r="A34" s="9">
        <v>7</v>
      </c>
      <c r="B34" s="365" t="s">
        <v>28</v>
      </c>
      <c r="C34" s="365"/>
      <c r="D34" s="365"/>
      <c r="E34" s="365"/>
      <c r="F34" s="11"/>
      <c r="G34" s="11"/>
      <c r="H34" s="11"/>
      <c r="I34" s="11"/>
      <c r="J34" s="11"/>
    </row>
    <row r="35" spans="1:10" x14ac:dyDescent="0.4">
      <c r="A35" s="9"/>
      <c r="B35" s="17" t="s">
        <v>29</v>
      </c>
      <c r="C35" s="446" t="s">
        <v>30</v>
      </c>
      <c r="D35" s="446"/>
      <c r="E35" s="446"/>
      <c r="F35" s="13"/>
    </row>
    <row r="36" spans="1:10" ht="25.55" customHeight="1" x14ac:dyDescent="0.4">
      <c r="A36" s="9"/>
      <c r="B36" s="17" t="s">
        <v>31</v>
      </c>
      <c r="C36" s="446" t="s">
        <v>320</v>
      </c>
      <c r="D36" s="446"/>
      <c r="E36" s="446"/>
      <c r="F36" s="13"/>
    </row>
    <row r="37" spans="1:10" ht="25.55" customHeight="1" x14ac:dyDescent="0.4">
      <c r="A37" s="9"/>
      <c r="B37" s="17" t="s">
        <v>32</v>
      </c>
      <c r="C37" s="446" t="s">
        <v>201</v>
      </c>
      <c r="D37" s="446"/>
      <c r="E37" s="446"/>
      <c r="F37" s="13"/>
    </row>
    <row r="38" spans="1:10" x14ac:dyDescent="0.4">
      <c r="A38" s="9"/>
      <c r="C38" s="13"/>
      <c r="D38" s="13"/>
      <c r="E38" s="13"/>
      <c r="F38" s="13"/>
    </row>
    <row r="39" spans="1:10" x14ac:dyDescent="0.4">
      <c r="A39" s="9"/>
      <c r="B39" s="15"/>
      <c r="C39" s="13"/>
      <c r="D39" s="13"/>
      <c r="E39" s="13"/>
      <c r="F39" s="13"/>
    </row>
    <row r="40" spans="1:10" x14ac:dyDescent="0.4">
      <c r="A40" s="9">
        <v>8</v>
      </c>
      <c r="B40" s="365" t="s">
        <v>1084</v>
      </c>
      <c r="C40" s="365"/>
      <c r="D40" s="365"/>
      <c r="E40" s="365"/>
      <c r="F40" s="11"/>
      <c r="G40" s="11"/>
      <c r="H40" s="11"/>
      <c r="I40" s="11"/>
      <c r="J40" s="11"/>
    </row>
    <row r="41" spans="1:10" x14ac:dyDescent="0.4">
      <c r="A41" s="9"/>
      <c r="B41" s="17" t="s">
        <v>34</v>
      </c>
      <c r="C41" s="446" t="s">
        <v>730</v>
      </c>
      <c r="D41" s="446"/>
      <c r="E41" s="446"/>
      <c r="F41" s="13"/>
    </row>
    <row r="42" spans="1:10" ht="15.05" x14ac:dyDescent="0.45">
      <c r="A42" s="9"/>
      <c r="B42" s="17" t="s">
        <v>31</v>
      </c>
      <c r="C42" s="446" t="s">
        <v>320</v>
      </c>
      <c r="D42" s="446"/>
      <c r="E42" s="446"/>
      <c r="F42" s="182"/>
      <c r="I42" s="182"/>
    </row>
    <row r="43" spans="1:10" x14ac:dyDescent="0.4">
      <c r="A43" s="9"/>
      <c r="B43" s="17" t="s">
        <v>32</v>
      </c>
      <c r="C43" s="446" t="s">
        <v>201</v>
      </c>
      <c r="D43" s="446"/>
      <c r="E43" s="446"/>
      <c r="F43" s="13"/>
      <c r="G43" s="8" t="s">
        <v>693</v>
      </c>
    </row>
    <row r="44" spans="1:10" x14ac:dyDescent="0.4">
      <c r="A44" s="9"/>
      <c r="B44" s="363" t="s">
        <v>1034</v>
      </c>
      <c r="C44" s="368"/>
      <c r="D44" s="368"/>
      <c r="E44" s="369"/>
      <c r="F44" s="13"/>
    </row>
    <row r="45" spans="1:10" x14ac:dyDescent="0.4">
      <c r="A45" s="2"/>
      <c r="D45" s="23"/>
      <c r="E45" s="13"/>
    </row>
    <row r="46" spans="1:10" x14ac:dyDescent="0.4">
      <c r="A46" s="24">
        <v>9</v>
      </c>
      <c r="B46" s="376" t="s">
        <v>1085</v>
      </c>
      <c r="C46" s="365"/>
      <c r="D46" s="365"/>
      <c r="E46" s="365"/>
      <c r="F46" s="25"/>
      <c r="G46" s="11"/>
      <c r="H46" s="11"/>
      <c r="I46" s="11"/>
    </row>
    <row r="47" spans="1:10" ht="25.65" x14ac:dyDescent="0.4">
      <c r="A47" s="24"/>
      <c r="B47" s="26" t="s">
        <v>37</v>
      </c>
      <c r="C47" s="27" t="s">
        <v>38</v>
      </c>
      <c r="D47" s="28" t="s">
        <v>39</v>
      </c>
      <c r="E47" s="27" t="s">
        <v>206</v>
      </c>
    </row>
    <row r="48" spans="1:10" ht="132.55000000000001" x14ac:dyDescent="0.4">
      <c r="A48" s="29"/>
      <c r="B48" s="30" t="s">
        <v>1023</v>
      </c>
      <c r="C48" s="30" t="s">
        <v>1262</v>
      </c>
      <c r="D48" s="30" t="s">
        <v>1263</v>
      </c>
      <c r="E48" s="117" t="s">
        <v>186</v>
      </c>
    </row>
    <row r="49" spans="1:14" x14ac:dyDescent="0.4">
      <c r="A49" s="31"/>
      <c r="B49" s="380" t="s">
        <v>1024</v>
      </c>
      <c r="C49" s="381"/>
      <c r="D49" s="381"/>
      <c r="E49" s="382"/>
      <c r="F49" s="15"/>
      <c r="G49" s="15"/>
      <c r="H49" s="15"/>
    </row>
    <row r="50" spans="1:14" x14ac:dyDescent="0.4">
      <c r="A50" s="32"/>
      <c r="B50" s="62"/>
      <c r="C50" s="23"/>
      <c r="D50" s="23"/>
      <c r="E50" s="23"/>
      <c r="F50" s="15"/>
      <c r="G50" s="15"/>
      <c r="H50" s="15"/>
      <c r="I50" s="15"/>
    </row>
    <row r="51" spans="1:14" x14ac:dyDescent="0.4">
      <c r="A51" s="24">
        <v>10</v>
      </c>
      <c r="B51" s="376" t="s">
        <v>1085</v>
      </c>
      <c r="C51" s="365"/>
      <c r="D51" s="365"/>
      <c r="E51" s="365"/>
      <c r="F51" s="15"/>
      <c r="G51" s="15" t="s">
        <v>693</v>
      </c>
      <c r="H51" s="15"/>
    </row>
    <row r="52" spans="1:14" x14ac:dyDescent="0.4">
      <c r="A52" s="29"/>
      <c r="B52" s="452" t="s">
        <v>43</v>
      </c>
      <c r="C52" s="617" t="s">
        <v>1264</v>
      </c>
      <c r="D52" s="618"/>
      <c r="E52" s="619"/>
      <c r="K52" s="1"/>
    </row>
    <row r="53" spans="1:14" ht="51.05" customHeight="1" x14ac:dyDescent="0.4">
      <c r="A53" s="29"/>
      <c r="B53" s="453"/>
      <c r="C53" s="620"/>
      <c r="D53" s="621"/>
      <c r="E53" s="622"/>
      <c r="K53" s="1"/>
    </row>
    <row r="54" spans="1:14" ht="67.95" customHeight="1" x14ac:dyDescent="0.4">
      <c r="A54" s="24"/>
      <c r="B54" s="33" t="s">
        <v>44</v>
      </c>
      <c r="C54" s="391" t="s">
        <v>1265</v>
      </c>
      <c r="D54" s="391"/>
      <c r="E54" s="391"/>
    </row>
    <row r="55" spans="1:14" x14ac:dyDescent="0.4">
      <c r="A55" s="29"/>
      <c r="B55" s="33" t="s">
        <v>45</v>
      </c>
      <c r="C55" s="471" t="s">
        <v>46</v>
      </c>
      <c r="D55" s="472"/>
      <c r="E55" s="473"/>
      <c r="K55" s="34"/>
    </row>
    <row r="56" spans="1:14" x14ac:dyDescent="0.4">
      <c r="A56" s="29"/>
      <c r="B56" s="380" t="s">
        <v>1024</v>
      </c>
      <c r="C56" s="381"/>
      <c r="D56" s="381"/>
      <c r="E56" s="382"/>
      <c r="G56" s="8" t="s">
        <v>693</v>
      </c>
      <c r="K56" s="34"/>
    </row>
    <row r="57" spans="1:14" s="63" customFormat="1" x14ac:dyDescent="0.35">
      <c r="A57" s="35" t="s">
        <v>47</v>
      </c>
      <c r="B57" s="392" t="s">
        <v>48</v>
      </c>
      <c r="C57" s="392"/>
      <c r="D57" s="392"/>
      <c r="E57" s="392"/>
    </row>
    <row r="58" spans="1:14" x14ac:dyDescent="0.4">
      <c r="A58" s="40"/>
      <c r="B58" s="41"/>
      <c r="C58" s="42"/>
      <c r="D58" s="42"/>
      <c r="E58" s="42"/>
      <c r="F58" s="42"/>
    </row>
    <row r="59" spans="1:14" x14ac:dyDescent="0.4">
      <c r="A59" s="9">
        <v>11</v>
      </c>
      <c r="B59" s="3" t="s">
        <v>49</v>
      </c>
      <c r="C59" s="393" t="s">
        <v>1030</v>
      </c>
      <c r="D59" s="393"/>
      <c r="E59" s="393"/>
      <c r="F59" s="11"/>
      <c r="G59" s="282"/>
      <c r="H59" s="43"/>
      <c r="I59" s="11"/>
      <c r="J59" s="11"/>
    </row>
    <row r="60" spans="1:14" x14ac:dyDescent="0.4">
      <c r="A60" s="9"/>
      <c r="B60" s="15"/>
      <c r="C60" s="15"/>
      <c r="D60" s="15"/>
      <c r="E60" s="15"/>
      <c r="F60" s="15"/>
      <c r="G60" s="118"/>
      <c r="H60" s="44"/>
      <c r="I60" s="44"/>
      <c r="J60" s="15"/>
    </row>
    <row r="61" spans="1:14" x14ac:dyDescent="0.4">
      <c r="A61" s="9">
        <v>12</v>
      </c>
      <c r="B61" s="11" t="s">
        <v>51</v>
      </c>
      <c r="C61" s="11"/>
      <c r="D61" s="11"/>
      <c r="E61" s="43"/>
      <c r="F61" s="43"/>
      <c r="G61" s="282"/>
      <c r="H61" s="282"/>
      <c r="I61" s="11"/>
      <c r="J61" s="11"/>
      <c r="K61" s="11"/>
      <c r="L61" s="11"/>
      <c r="M61" s="11"/>
      <c r="N61" s="11"/>
    </row>
    <row r="62" spans="1:14" x14ac:dyDescent="0.4">
      <c r="A62" s="9"/>
      <c r="B62" s="11"/>
      <c r="C62" s="11"/>
      <c r="D62" s="11"/>
      <c r="E62" s="43"/>
      <c r="F62" s="43"/>
      <c r="G62" s="43"/>
      <c r="H62" s="282"/>
      <c r="I62" s="11"/>
      <c r="J62" s="11"/>
      <c r="K62" s="11"/>
      <c r="L62" s="11"/>
      <c r="M62" s="11"/>
      <c r="N62" s="11"/>
    </row>
    <row r="63" spans="1:14" x14ac:dyDescent="0.4">
      <c r="A63" s="9"/>
      <c r="B63" s="17" t="s">
        <v>52</v>
      </c>
      <c r="C63" s="446" t="s">
        <v>777</v>
      </c>
      <c r="D63" s="446"/>
      <c r="E63" s="446"/>
      <c r="F63" s="44"/>
      <c r="G63" s="44"/>
      <c r="H63" s="118"/>
      <c r="I63" s="15"/>
      <c r="J63" s="15"/>
      <c r="K63" s="15"/>
      <c r="L63" s="15"/>
      <c r="M63" s="15"/>
      <c r="N63" s="15"/>
    </row>
    <row r="64" spans="1:14" x14ac:dyDescent="0.4">
      <c r="A64" s="9"/>
      <c r="B64" s="15"/>
      <c r="C64" s="15"/>
      <c r="D64" s="118"/>
      <c r="E64" s="118"/>
      <c r="F64" s="15"/>
      <c r="G64" s="15"/>
      <c r="H64" s="15"/>
      <c r="I64" s="15"/>
      <c r="J64" s="15"/>
      <c r="K64" s="15"/>
      <c r="L64" s="15"/>
      <c r="M64" s="15"/>
      <c r="N64" s="15"/>
    </row>
    <row r="65" spans="1:14" x14ac:dyDescent="0.4">
      <c r="A65" s="9"/>
      <c r="B65" s="365" t="s">
        <v>53</v>
      </c>
      <c r="C65" s="366" t="s">
        <v>1025</v>
      </c>
      <c r="D65" s="366" t="s">
        <v>271</v>
      </c>
      <c r="E65" s="403" t="s">
        <v>232</v>
      </c>
      <c r="F65" s="395" t="s">
        <v>626</v>
      </c>
      <c r="G65" s="396"/>
      <c r="H65" s="397"/>
      <c r="I65" s="398" t="s">
        <v>55</v>
      </c>
      <c r="J65" s="398"/>
      <c r="K65" s="398"/>
      <c r="L65" s="398" t="s">
        <v>56</v>
      </c>
      <c r="M65" s="398"/>
      <c r="N65" s="398"/>
    </row>
    <row r="66" spans="1:14" ht="38.450000000000003" x14ac:dyDescent="0.4">
      <c r="A66" s="2"/>
      <c r="B66" s="365"/>
      <c r="C66" s="402"/>
      <c r="D66" s="402"/>
      <c r="E66" s="404"/>
      <c r="F66" s="17" t="s">
        <v>57</v>
      </c>
      <c r="G66" s="17" t="s">
        <v>58</v>
      </c>
      <c r="H66" s="17" t="s">
        <v>59</v>
      </c>
      <c r="I66" s="17" t="s">
        <v>60</v>
      </c>
      <c r="J66" s="17" t="s">
        <v>58</v>
      </c>
      <c r="K66" s="17" t="s">
        <v>59</v>
      </c>
      <c r="L66" s="17" t="s">
        <v>60</v>
      </c>
      <c r="M66" s="17" t="s">
        <v>58</v>
      </c>
      <c r="N66" s="17" t="s">
        <v>59</v>
      </c>
    </row>
    <row r="67" spans="1:14" x14ac:dyDescent="0.4">
      <c r="A67" s="2"/>
      <c r="B67" s="17" t="s">
        <v>103</v>
      </c>
      <c r="C67" s="284">
        <v>42.9</v>
      </c>
      <c r="D67" s="101">
        <v>49.6</v>
      </c>
      <c r="E67" s="101">
        <v>51.9</v>
      </c>
      <c r="F67" s="101">
        <v>42</v>
      </c>
      <c r="G67" s="101">
        <v>59.9</v>
      </c>
      <c r="H67" s="101">
        <v>40</v>
      </c>
      <c r="I67" s="45" t="s">
        <v>41</v>
      </c>
      <c r="J67" s="45" t="s">
        <v>41</v>
      </c>
      <c r="K67" s="45" t="s">
        <v>41</v>
      </c>
      <c r="L67" s="45" t="s">
        <v>41</v>
      </c>
      <c r="M67" s="45" t="s">
        <v>41</v>
      </c>
      <c r="N67" s="45" t="s">
        <v>41</v>
      </c>
    </row>
    <row r="68" spans="1:14" ht="25.65" x14ac:dyDescent="0.4">
      <c r="A68" s="2"/>
      <c r="B68" s="17" t="s">
        <v>1026</v>
      </c>
      <c r="C68" s="284">
        <v>16983.55</v>
      </c>
      <c r="D68" s="284">
        <v>18157</v>
      </c>
      <c r="E68" s="101">
        <v>18101.2</v>
      </c>
      <c r="F68" s="101">
        <v>17359.75</v>
      </c>
      <c r="G68" s="101">
        <v>18887.599999999999</v>
      </c>
      <c r="H68" s="101">
        <v>16828.349999999999</v>
      </c>
      <c r="I68" s="45" t="s">
        <v>41</v>
      </c>
      <c r="J68" s="45" t="s">
        <v>41</v>
      </c>
      <c r="K68" s="45" t="s">
        <v>41</v>
      </c>
      <c r="L68" s="45" t="s">
        <v>41</v>
      </c>
      <c r="M68" s="45" t="s">
        <v>41</v>
      </c>
      <c r="N68" s="45" t="s">
        <v>41</v>
      </c>
    </row>
    <row r="69" spans="1:14" x14ac:dyDescent="0.4">
      <c r="A69" s="2"/>
      <c r="B69" s="17" t="s">
        <v>1087</v>
      </c>
      <c r="C69" s="546" t="s">
        <v>83</v>
      </c>
      <c r="D69" s="546"/>
      <c r="E69" s="546"/>
      <c r="F69" s="546"/>
      <c r="G69" s="546"/>
      <c r="H69" s="546"/>
      <c r="I69" s="546"/>
      <c r="J69" s="546"/>
      <c r="K69" s="546"/>
      <c r="L69" s="546"/>
      <c r="M69" s="546"/>
      <c r="N69" s="546"/>
    </row>
    <row r="70" spans="1:14" x14ac:dyDescent="0.4">
      <c r="A70" s="2"/>
      <c r="B70" s="399" t="s">
        <v>1103</v>
      </c>
      <c r="C70" s="399"/>
      <c r="D70" s="399"/>
      <c r="E70" s="399"/>
      <c r="F70" s="399"/>
      <c r="G70" s="399"/>
      <c r="H70" s="399"/>
      <c r="I70" s="399"/>
      <c r="J70" s="399"/>
      <c r="K70" s="399"/>
      <c r="L70" s="399"/>
      <c r="M70" s="399"/>
      <c r="N70" s="399"/>
    </row>
    <row r="71" spans="1:14" x14ac:dyDescent="0.4">
      <c r="A71" s="2"/>
      <c r="B71" s="545" t="s">
        <v>94</v>
      </c>
      <c r="C71" s="545"/>
      <c r="D71" s="545"/>
      <c r="E71" s="545"/>
      <c r="F71" s="545"/>
      <c r="G71" s="545"/>
      <c r="H71" s="545"/>
      <c r="I71" s="545"/>
      <c r="J71" s="545"/>
      <c r="K71" s="545"/>
      <c r="L71" s="545"/>
      <c r="M71" s="545"/>
      <c r="N71" s="545"/>
    </row>
    <row r="72" spans="1:14" x14ac:dyDescent="0.4">
      <c r="A72" s="2"/>
      <c r="B72" s="480" t="s">
        <v>63</v>
      </c>
      <c r="C72" s="480"/>
      <c r="D72" s="480"/>
      <c r="E72" s="480"/>
      <c r="F72" s="480"/>
      <c r="G72" s="480"/>
      <c r="H72" s="480"/>
      <c r="I72" s="480"/>
      <c r="J72" s="480"/>
      <c r="K72" s="480"/>
      <c r="L72" s="480"/>
      <c r="M72" s="480"/>
      <c r="N72" s="480"/>
    </row>
    <row r="73" spans="1:14" s="1" customFormat="1" x14ac:dyDescent="0.4">
      <c r="B73" s="474" t="s">
        <v>64</v>
      </c>
      <c r="C73" s="474"/>
      <c r="D73" s="474"/>
      <c r="E73" s="474"/>
      <c r="F73" s="474"/>
      <c r="G73" s="474"/>
      <c r="H73" s="474"/>
      <c r="I73" s="474"/>
      <c r="J73" s="474"/>
      <c r="K73" s="474"/>
      <c r="L73" s="474"/>
      <c r="M73" s="474"/>
      <c r="N73" s="474"/>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25.65" x14ac:dyDescent="0.4">
      <c r="A79" s="2"/>
      <c r="B79" s="50" t="s">
        <v>67</v>
      </c>
      <c r="C79" s="18" t="s">
        <v>68</v>
      </c>
      <c r="D79" s="18" t="s">
        <v>1127</v>
      </c>
      <c r="E79" s="18" t="s">
        <v>218</v>
      </c>
      <c r="F79" s="18" t="s">
        <v>71</v>
      </c>
      <c r="G79" s="18" t="s">
        <v>107</v>
      </c>
      <c r="H79" s="13"/>
      <c r="I79" s="13"/>
      <c r="J79" s="13"/>
      <c r="K79" s="13"/>
      <c r="L79" s="13"/>
      <c r="M79" s="13"/>
      <c r="N79" s="13"/>
    </row>
    <row r="80" spans="1:14" ht="13.25" customHeight="1" x14ac:dyDescent="0.35">
      <c r="A80" s="2"/>
      <c r="B80" s="394" t="s">
        <v>72</v>
      </c>
      <c r="C80" s="3" t="s">
        <v>1027</v>
      </c>
      <c r="D80" s="65">
        <v>-35.54</v>
      </c>
      <c r="E80" s="66">
        <v>-2.2200000000000002</v>
      </c>
      <c r="F80" s="435" t="s">
        <v>326</v>
      </c>
      <c r="G80" s="435" t="s">
        <v>220</v>
      </c>
      <c r="H80" s="53"/>
      <c r="I80" s="53"/>
      <c r="J80" s="53"/>
      <c r="K80" s="53"/>
      <c r="L80" s="53"/>
      <c r="M80" s="53"/>
      <c r="N80" s="53"/>
    </row>
    <row r="81" spans="1:14" x14ac:dyDescent="0.4">
      <c r="A81" s="2"/>
      <c r="B81" s="394"/>
      <c r="C81" s="3" t="s">
        <v>1014</v>
      </c>
      <c r="D81" s="54"/>
      <c r="E81" s="66"/>
      <c r="F81" s="436"/>
      <c r="G81" s="436"/>
      <c r="H81" s="53"/>
      <c r="I81" s="53" t="s">
        <v>693</v>
      </c>
      <c r="J81" s="53"/>
      <c r="K81" s="53"/>
      <c r="L81" s="53"/>
      <c r="M81" s="53"/>
      <c r="N81" s="53"/>
    </row>
    <row r="82" spans="1:14" x14ac:dyDescent="0.4">
      <c r="A82" s="2"/>
      <c r="B82" s="394"/>
      <c r="C82" s="3" t="s">
        <v>74</v>
      </c>
      <c r="D82" s="127"/>
      <c r="E82" s="66"/>
      <c r="F82" s="436"/>
      <c r="G82" s="436"/>
      <c r="H82" s="53"/>
      <c r="I82" s="53"/>
      <c r="J82" s="53"/>
      <c r="K82" s="53"/>
      <c r="L82" s="53"/>
      <c r="M82" s="53"/>
      <c r="N82" s="53"/>
    </row>
    <row r="83" spans="1:14" x14ac:dyDescent="0.35">
      <c r="A83" s="2"/>
      <c r="B83" s="394" t="s">
        <v>75</v>
      </c>
      <c r="C83" s="3" t="s">
        <v>1027</v>
      </c>
      <c r="D83" s="77">
        <v>0</v>
      </c>
      <c r="E83" s="70">
        <v>0</v>
      </c>
      <c r="F83" s="436"/>
      <c r="G83" s="436"/>
      <c r="H83" s="53"/>
      <c r="I83" s="53"/>
      <c r="J83" s="53"/>
      <c r="K83" s="53"/>
      <c r="L83" s="53"/>
      <c r="M83" s="53"/>
      <c r="N83" s="53"/>
    </row>
    <row r="84" spans="1:14" x14ac:dyDescent="0.4">
      <c r="A84" s="2"/>
      <c r="B84" s="394"/>
      <c r="C84" s="3" t="s">
        <v>109</v>
      </c>
      <c r="D84" s="54"/>
      <c r="E84" s="66"/>
      <c r="F84" s="436"/>
      <c r="G84" s="436"/>
      <c r="H84" s="53"/>
      <c r="I84" s="53"/>
      <c r="J84" s="53"/>
      <c r="K84" s="53"/>
      <c r="L84" s="53"/>
      <c r="M84" s="53"/>
      <c r="N84" s="53"/>
    </row>
    <row r="85" spans="1:14" x14ac:dyDescent="0.4">
      <c r="A85" s="2"/>
      <c r="B85" s="394"/>
      <c r="C85" s="3" t="s">
        <v>74</v>
      </c>
      <c r="D85" s="127"/>
      <c r="E85" s="66"/>
      <c r="F85" s="436"/>
      <c r="G85" s="436"/>
      <c r="H85" s="53"/>
      <c r="I85" s="53"/>
      <c r="J85" s="53"/>
      <c r="K85" s="53"/>
      <c r="L85" s="53"/>
      <c r="M85" s="53"/>
      <c r="N85" s="53"/>
    </row>
    <row r="86" spans="1:14" ht="14.6" x14ac:dyDescent="0.4">
      <c r="A86" s="2"/>
      <c r="B86" s="394" t="s">
        <v>76</v>
      </c>
      <c r="C86" s="3" t="s">
        <v>1027</v>
      </c>
      <c r="D86" s="97">
        <v>0.67859999999999998</v>
      </c>
      <c r="E86" s="71">
        <f>-429.53/6891.89</f>
        <v>-6.2323977892856666E-2</v>
      </c>
      <c r="F86" s="436"/>
      <c r="G86" s="436"/>
      <c r="H86" s="53"/>
      <c r="I86" t="s">
        <v>693</v>
      </c>
      <c r="J86"/>
      <c r="K86"/>
      <c r="L86"/>
      <c r="M86"/>
      <c r="N86"/>
    </row>
    <row r="87" spans="1:14" x14ac:dyDescent="0.4">
      <c r="A87" s="2"/>
      <c r="B87" s="394"/>
      <c r="C87" s="3" t="s">
        <v>109</v>
      </c>
      <c r="D87" s="54"/>
      <c r="E87" s="66"/>
      <c r="F87" s="436"/>
      <c r="G87" s="436"/>
      <c r="H87" s="53"/>
      <c r="I87" s="53"/>
      <c r="J87" s="53"/>
      <c r="K87" s="53"/>
      <c r="L87" s="53"/>
      <c r="M87" s="53"/>
      <c r="N87" s="53"/>
    </row>
    <row r="88" spans="1:14" x14ac:dyDescent="0.4">
      <c r="A88" s="2"/>
      <c r="B88" s="394"/>
      <c r="C88" s="3" t="s">
        <v>74</v>
      </c>
      <c r="D88" s="196"/>
      <c r="E88" s="66"/>
      <c r="F88" s="436"/>
      <c r="G88" s="436"/>
      <c r="H88" s="53"/>
      <c r="I88" s="53"/>
      <c r="J88" s="53"/>
      <c r="K88" s="53"/>
      <c r="L88" s="53"/>
      <c r="M88" s="53"/>
      <c r="N88" s="53"/>
    </row>
    <row r="89" spans="1:14" x14ac:dyDescent="0.35">
      <c r="A89" s="2"/>
      <c r="B89" s="394" t="s">
        <v>77</v>
      </c>
      <c r="C89" s="3" t="s">
        <v>1027</v>
      </c>
      <c r="D89" s="65">
        <v>8.19</v>
      </c>
      <c r="E89" s="70">
        <f>6891.89/225</f>
        <v>30.630622222222225</v>
      </c>
      <c r="F89" s="436"/>
      <c r="G89" s="436"/>
      <c r="H89" s="53"/>
      <c r="I89" s="53"/>
      <c r="J89" s="53"/>
      <c r="K89" s="53"/>
      <c r="L89" s="53"/>
      <c r="M89" s="53"/>
      <c r="N89" s="53"/>
    </row>
    <row r="90" spans="1:14" x14ac:dyDescent="0.4">
      <c r="A90" s="2"/>
      <c r="B90" s="394"/>
      <c r="C90" s="3" t="s">
        <v>109</v>
      </c>
      <c r="D90" s="54"/>
      <c r="E90" s="66"/>
      <c r="F90" s="436"/>
      <c r="G90" s="436"/>
      <c r="H90" s="53"/>
      <c r="I90" s="53"/>
      <c r="J90" s="53"/>
      <c r="K90" s="53"/>
      <c r="L90" s="53"/>
      <c r="M90" s="53"/>
      <c r="N90" s="53"/>
    </row>
    <row r="91" spans="1:14" x14ac:dyDescent="0.4">
      <c r="A91" s="2"/>
      <c r="B91" s="411"/>
      <c r="C91" s="3" t="s">
        <v>74</v>
      </c>
      <c r="D91" s="127"/>
      <c r="E91" s="66"/>
      <c r="F91" s="436"/>
      <c r="G91" s="436"/>
      <c r="H91" s="53"/>
      <c r="I91" s="53"/>
      <c r="J91" s="53"/>
      <c r="K91" s="53"/>
      <c r="L91" s="53"/>
      <c r="M91" s="53"/>
      <c r="N91" s="53"/>
    </row>
    <row r="92" spans="1:14" s="1" customFormat="1" x14ac:dyDescent="0.4">
      <c r="B92" s="412"/>
      <c r="C92" s="413"/>
      <c r="D92" s="413"/>
      <c r="E92" s="413"/>
      <c r="F92" s="413"/>
      <c r="G92" s="414"/>
    </row>
    <row r="93" spans="1:14" x14ac:dyDescent="0.4">
      <c r="A93" s="2"/>
      <c r="B93" s="415" t="s">
        <v>1028</v>
      </c>
      <c r="C93" s="416"/>
      <c r="D93" s="416"/>
      <c r="E93" s="416"/>
      <c r="F93" s="416"/>
      <c r="G93" s="417"/>
      <c r="H93" s="53"/>
      <c r="I93" s="53"/>
      <c r="J93" s="53"/>
      <c r="K93" s="53"/>
      <c r="L93" s="53"/>
      <c r="M93" s="53"/>
      <c r="N93" s="53"/>
    </row>
    <row r="94" spans="1:14" x14ac:dyDescent="0.4">
      <c r="A94" s="2"/>
      <c r="B94" s="415" t="s">
        <v>1016</v>
      </c>
      <c r="C94" s="416"/>
      <c r="D94" s="416"/>
      <c r="E94" s="416"/>
      <c r="F94" s="416"/>
      <c r="G94" s="417"/>
      <c r="H94" s="53"/>
      <c r="I94" s="53"/>
      <c r="J94" s="53"/>
      <c r="K94" s="53"/>
      <c r="L94" s="53"/>
      <c r="M94" s="53"/>
      <c r="N94" s="53"/>
    </row>
    <row r="95" spans="1:14" x14ac:dyDescent="0.4">
      <c r="A95" s="2"/>
      <c r="B95" s="363"/>
      <c r="C95" s="368"/>
      <c r="D95" s="368"/>
      <c r="E95" s="368"/>
      <c r="F95" s="368"/>
      <c r="G95" s="369"/>
      <c r="H95" s="53"/>
      <c r="I95" s="53"/>
      <c r="J95" s="53"/>
      <c r="K95" s="53"/>
      <c r="L95" s="53"/>
      <c r="M95" s="53"/>
      <c r="N95" s="53"/>
    </row>
    <row r="96" spans="1:14" x14ac:dyDescent="0.4">
      <c r="C96" s="407"/>
      <c r="D96" s="407"/>
      <c r="E96" s="407"/>
      <c r="F96" s="407"/>
      <c r="G96" s="407"/>
      <c r="H96" s="53"/>
      <c r="I96" s="53"/>
    </row>
    <row r="97" spans="1:7" x14ac:dyDescent="0.4">
      <c r="A97" s="9">
        <v>14</v>
      </c>
      <c r="B97" s="61" t="s">
        <v>78</v>
      </c>
      <c r="C97" s="356" t="s">
        <v>41</v>
      </c>
      <c r="D97" s="357"/>
      <c r="E97" s="357"/>
      <c r="F97" s="357"/>
      <c r="G97" s="408"/>
    </row>
    <row r="98" spans="1:7" x14ac:dyDescent="0.4">
      <c r="A98" s="23"/>
      <c r="C98" s="69"/>
      <c r="D98" s="69"/>
      <c r="E98" s="69"/>
      <c r="F98" s="69"/>
      <c r="G98" s="69"/>
    </row>
    <row r="99" spans="1:7" x14ac:dyDescent="0.4">
      <c r="C99" s="69"/>
      <c r="D99" s="69"/>
      <c r="E99" s="69"/>
      <c r="F99" s="69"/>
      <c r="G99" s="69"/>
    </row>
    <row r="101" spans="1:7" ht="12.7" customHeight="1" x14ac:dyDescent="0.4">
      <c r="B101" s="538" t="s">
        <v>1029</v>
      </c>
      <c r="C101" s="538"/>
      <c r="D101" s="538"/>
      <c r="E101" s="538"/>
      <c r="F101" s="538"/>
      <c r="G101" s="538"/>
    </row>
    <row r="104" spans="1:7" ht="25.55" customHeight="1" x14ac:dyDescent="0.4">
      <c r="B104" s="515" t="s">
        <v>1232</v>
      </c>
      <c r="C104" s="515"/>
      <c r="D104" s="515"/>
      <c r="E104" s="515"/>
      <c r="F104" s="515"/>
      <c r="G104" s="515"/>
    </row>
    <row r="105" spans="1:7" x14ac:dyDescent="0.4">
      <c r="G105" s="230"/>
    </row>
    <row r="106" spans="1:7" x14ac:dyDescent="0.4">
      <c r="C106" s="230"/>
      <c r="D106" s="230"/>
      <c r="E106" s="107"/>
      <c r="G106" s="230"/>
    </row>
    <row r="107" spans="1:7" x14ac:dyDescent="0.4">
      <c r="E107" s="107"/>
    </row>
  </sheetData>
  <sheetProtection algorithmName="SHA-512" hashValue="uSbus3ZvSA/9KUXSNUoehQFdCCLH1igzVMKUIjjfhjX/8xTJPgvVGSl8bPpTC115Jgo9rxYj5WE6x49Yn7EmeQ==" saltValue="DOaXu/mOvWt9gYwLzvodiw==" spinCount="100000" sheet="1" objects="1" scenarios="1"/>
  <mergeCells count="70">
    <mergeCell ref="D28:D31"/>
    <mergeCell ref="E28:E31"/>
    <mergeCell ref="B17:E17"/>
    <mergeCell ref="C18:E18"/>
    <mergeCell ref="C19:E19"/>
    <mergeCell ref="C20:E20"/>
    <mergeCell ref="C21:E21"/>
    <mergeCell ref="C22:E22"/>
    <mergeCell ref="B25:E25"/>
    <mergeCell ref="B26:E26"/>
    <mergeCell ref="C11:E11"/>
    <mergeCell ref="A1:B1"/>
    <mergeCell ref="C3:E3"/>
    <mergeCell ref="C5:E5"/>
    <mergeCell ref="B6:E6"/>
    <mergeCell ref="C8:E8"/>
    <mergeCell ref="B9:E9"/>
    <mergeCell ref="C43:E43"/>
    <mergeCell ref="B44:E44"/>
    <mergeCell ref="B46:E46"/>
    <mergeCell ref="B49:E49"/>
    <mergeCell ref="B51:E51"/>
    <mergeCell ref="B32:E32"/>
    <mergeCell ref="B34:E34"/>
    <mergeCell ref="B40:E40"/>
    <mergeCell ref="C41:E41"/>
    <mergeCell ref="C42:E42"/>
    <mergeCell ref="C37:E37"/>
    <mergeCell ref="B83:B85"/>
    <mergeCell ref="B86:B88"/>
    <mergeCell ref="B89:B91"/>
    <mergeCell ref="B70:N70"/>
    <mergeCell ref="C52:E53"/>
    <mergeCell ref="B52:B53"/>
    <mergeCell ref="B73:N73"/>
    <mergeCell ref="C54:E54"/>
    <mergeCell ref="C55:E55"/>
    <mergeCell ref="B56:E56"/>
    <mergeCell ref="B57:E57"/>
    <mergeCell ref="C59:E59"/>
    <mergeCell ref="B65:B66"/>
    <mergeCell ref="C65:C66"/>
    <mergeCell ref="D65:D66"/>
    <mergeCell ref="B71:N71"/>
    <mergeCell ref="B95:G95"/>
    <mergeCell ref="C96:G96"/>
    <mergeCell ref="B92:G92"/>
    <mergeCell ref="B93:G93"/>
    <mergeCell ref="B94:G94"/>
    <mergeCell ref="B72:N72"/>
    <mergeCell ref="C69:N69"/>
    <mergeCell ref="E65:E66"/>
    <mergeCell ref="F65:H65"/>
    <mergeCell ref="I65:K65"/>
    <mergeCell ref="C97:G97"/>
    <mergeCell ref="L65:N65"/>
    <mergeCell ref="B104:G104"/>
    <mergeCell ref="B101:G101"/>
    <mergeCell ref="B12:E12"/>
    <mergeCell ref="C14:E14"/>
    <mergeCell ref="B15:E15"/>
    <mergeCell ref="C35:E35"/>
    <mergeCell ref="C36:E36"/>
    <mergeCell ref="B74:N74"/>
    <mergeCell ref="B75:N75"/>
    <mergeCell ref="B77:G77"/>
    <mergeCell ref="B80:B82"/>
    <mergeCell ref="F80:F91"/>
    <mergeCell ref="G80:G91"/>
    <mergeCell ref="C63:E63"/>
  </mergeCells>
  <pageMargins left="0" right="0" top="0.42499999999999999" bottom="0.75" header="0.10625" footer="0.3"/>
  <pageSetup paperSize="5" scale="63" orientation="landscape" verticalDpi="300" r:id="rId1"/>
  <rowBreaks count="1" manualBreakCount="1">
    <brk id="4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N123"/>
  <sheetViews>
    <sheetView view="pageBreakPreview" zoomScale="60" zoomScaleNormal="100" zoomScalePageLayoutView="50" workbookViewId="0">
      <selection activeCell="C8" sqref="C8:E8"/>
    </sheetView>
  </sheetViews>
  <sheetFormatPr defaultColWidth="8.84375" defaultRowHeight="13.25" x14ac:dyDescent="0.4"/>
  <cols>
    <col min="1" max="1" width="8.84375" style="8"/>
    <col min="2" max="2" width="40.84375" style="8" customWidth="1"/>
    <col min="3" max="3" width="29.3046875" style="8" customWidth="1"/>
    <col min="4" max="4" width="19.3046875" style="8" customWidth="1"/>
    <col min="5" max="5" width="22.3046875" style="8" customWidth="1"/>
    <col min="6" max="6" width="11.3046875" style="8" customWidth="1"/>
    <col min="7" max="7" width="12.69140625" style="8" customWidth="1"/>
    <col min="8" max="8" width="8.84375" style="8"/>
    <col min="9" max="9" width="11.4609375" style="8" bestFit="1" customWidth="1"/>
    <col min="10" max="16384" width="8.84375" style="8"/>
  </cols>
  <sheetData>
    <row r="1" spans="1:5" x14ac:dyDescent="0.4">
      <c r="A1" s="355" t="s">
        <v>0</v>
      </c>
      <c r="B1" s="355"/>
      <c r="D1" s="1"/>
    </row>
    <row r="3" spans="1:5" ht="16.45" customHeight="1" x14ac:dyDescent="0.4">
      <c r="A3" s="2" t="s">
        <v>1</v>
      </c>
      <c r="B3" s="3" t="s">
        <v>2</v>
      </c>
      <c r="C3" s="497" t="s">
        <v>1049</v>
      </c>
      <c r="D3" s="497"/>
      <c r="E3" s="497"/>
    </row>
    <row r="4" spans="1:5" x14ac:dyDescent="0.4">
      <c r="C4" s="23"/>
      <c r="D4" s="5"/>
      <c r="E4" s="23"/>
    </row>
    <row r="5" spans="1:5" x14ac:dyDescent="0.4">
      <c r="A5" s="36">
        <v>1</v>
      </c>
      <c r="B5" s="3" t="s">
        <v>3</v>
      </c>
      <c r="C5" s="497" t="s">
        <v>702</v>
      </c>
      <c r="D5" s="497"/>
      <c r="E5" s="497"/>
    </row>
    <row r="6" spans="1:5" x14ac:dyDescent="0.4">
      <c r="A6" s="9"/>
      <c r="B6" s="480" t="s">
        <v>5</v>
      </c>
      <c r="C6" s="480"/>
      <c r="D6" s="480"/>
      <c r="E6" s="480"/>
    </row>
    <row r="7" spans="1:5" x14ac:dyDescent="0.4">
      <c r="A7" s="9"/>
      <c r="B7" s="11"/>
      <c r="D7" s="5"/>
    </row>
    <row r="8" spans="1:5" x14ac:dyDescent="0.4">
      <c r="A8" s="9">
        <v>2</v>
      </c>
      <c r="B8" s="3" t="s">
        <v>6</v>
      </c>
      <c r="C8" s="497" t="s">
        <v>1050</v>
      </c>
      <c r="D8" s="497"/>
      <c r="E8" s="497"/>
    </row>
    <row r="9" spans="1:5" x14ac:dyDescent="0.4">
      <c r="A9" s="9"/>
      <c r="B9" s="480" t="s">
        <v>5</v>
      </c>
      <c r="C9" s="480"/>
      <c r="D9" s="480"/>
      <c r="E9" s="480"/>
    </row>
    <row r="10" spans="1:5" x14ac:dyDescent="0.4">
      <c r="A10" s="9"/>
      <c r="B10" s="11"/>
      <c r="D10" s="5"/>
    </row>
    <row r="11" spans="1:5" x14ac:dyDescent="0.4">
      <c r="A11" s="9">
        <v>3</v>
      </c>
      <c r="B11" s="7" t="s">
        <v>7</v>
      </c>
      <c r="C11" s="356" t="s">
        <v>1109</v>
      </c>
      <c r="D11" s="357"/>
      <c r="E11" s="408"/>
    </row>
    <row r="12" spans="1:5" x14ac:dyDescent="0.4">
      <c r="A12" s="9"/>
      <c r="B12" s="480" t="s">
        <v>5</v>
      </c>
      <c r="C12" s="480"/>
      <c r="D12" s="480"/>
      <c r="E12" s="480"/>
    </row>
    <row r="13" spans="1:5" x14ac:dyDescent="0.4">
      <c r="A13" s="9"/>
      <c r="B13" s="11"/>
      <c r="D13" s="5"/>
    </row>
    <row r="14" spans="1:5" x14ac:dyDescent="0.4">
      <c r="A14" s="9">
        <v>4</v>
      </c>
      <c r="B14" s="3" t="s">
        <v>9</v>
      </c>
      <c r="C14" s="497" t="s">
        <v>1051</v>
      </c>
      <c r="D14" s="497"/>
      <c r="E14" s="497"/>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623">
        <v>1.4710000000000001E-3</v>
      </c>
      <c r="D18" s="623"/>
      <c r="E18" s="623"/>
      <c r="F18" s="15"/>
      <c r="G18" s="13"/>
      <c r="H18" s="13"/>
      <c r="I18" s="13"/>
      <c r="J18" s="13"/>
      <c r="K18" s="13"/>
      <c r="L18" s="13"/>
      <c r="M18" s="13"/>
      <c r="N18" s="13"/>
    </row>
    <row r="19" spans="1:14" ht="25.65" x14ac:dyDescent="0.4">
      <c r="A19" s="9"/>
      <c r="B19" s="14" t="s">
        <v>1079</v>
      </c>
      <c r="C19" s="605" t="s">
        <v>560</v>
      </c>
      <c r="D19" s="606"/>
      <c r="E19" s="607"/>
      <c r="F19" s="15"/>
      <c r="G19" s="13"/>
      <c r="I19" s="13"/>
      <c r="J19" s="13"/>
      <c r="K19" s="13"/>
      <c r="L19" s="13"/>
      <c r="M19" s="13"/>
      <c r="N19" s="13"/>
    </row>
    <row r="20" spans="1:14" x14ac:dyDescent="0.4">
      <c r="A20" s="9"/>
      <c r="B20" s="14" t="s">
        <v>605</v>
      </c>
      <c r="C20" s="605" t="s">
        <v>560</v>
      </c>
      <c r="D20" s="606"/>
      <c r="E20" s="60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ht="13.25" customHeight="1" x14ac:dyDescent="0.4">
      <c r="A28" s="9"/>
      <c r="B28" s="19" t="s">
        <v>1272</v>
      </c>
      <c r="C28" s="21">
        <v>7425.35</v>
      </c>
      <c r="D28" s="540" t="s">
        <v>264</v>
      </c>
      <c r="E28" s="540" t="s">
        <v>203</v>
      </c>
      <c r="F28" s="15"/>
    </row>
    <row r="29" spans="1:14" x14ac:dyDescent="0.4">
      <c r="A29" s="9"/>
      <c r="B29" s="19" t="s">
        <v>25</v>
      </c>
      <c r="C29" s="21">
        <v>234.33</v>
      </c>
      <c r="D29" s="541"/>
      <c r="E29" s="541"/>
      <c r="F29" s="15"/>
    </row>
    <row r="30" spans="1:14" x14ac:dyDescent="0.4">
      <c r="A30" s="9"/>
      <c r="B30" s="19" t="s">
        <v>26</v>
      </c>
      <c r="C30" s="120">
        <v>168</v>
      </c>
      <c r="D30" s="541"/>
      <c r="E30" s="541"/>
      <c r="F30" s="15"/>
    </row>
    <row r="31" spans="1:14" x14ac:dyDescent="0.4">
      <c r="A31" s="9"/>
      <c r="B31" s="19" t="s">
        <v>27</v>
      </c>
      <c r="C31" s="21">
        <v>1102.4100000000001</v>
      </c>
      <c r="D31" s="542"/>
      <c r="E31" s="542"/>
      <c r="F31" s="15"/>
    </row>
    <row r="32" spans="1:14" x14ac:dyDescent="0.4">
      <c r="A32" s="9"/>
      <c r="B32" s="363" t="s">
        <v>709</v>
      </c>
      <c r="C32" s="368"/>
      <c r="D32" s="368"/>
      <c r="E32" s="369"/>
      <c r="F32" s="15"/>
    </row>
    <row r="33" spans="1:10" x14ac:dyDescent="0.4">
      <c r="A33" s="9"/>
      <c r="B33" s="13"/>
      <c r="C33" s="15"/>
      <c r="D33" s="15"/>
      <c r="E33" s="15"/>
      <c r="F33" s="15"/>
    </row>
    <row r="34" spans="1:10" x14ac:dyDescent="0.4">
      <c r="A34" s="9">
        <v>7</v>
      </c>
      <c r="B34" s="365" t="s">
        <v>28</v>
      </c>
      <c r="C34" s="365"/>
      <c r="D34" s="365"/>
      <c r="E34" s="365"/>
      <c r="F34" s="11"/>
      <c r="G34" s="11"/>
      <c r="H34" s="11"/>
      <c r="I34" s="11"/>
      <c r="J34" s="11"/>
    </row>
    <row r="35" spans="1:10" x14ac:dyDescent="0.4">
      <c r="A35" s="9"/>
      <c r="B35" s="17" t="s">
        <v>29</v>
      </c>
      <c r="C35" s="446" t="s">
        <v>30</v>
      </c>
      <c r="D35" s="446"/>
      <c r="E35" s="446"/>
      <c r="F35" s="13"/>
    </row>
    <row r="36" spans="1:10" ht="25.55" customHeight="1" x14ac:dyDescent="0.4">
      <c r="A36" s="9"/>
      <c r="B36" s="17" t="s">
        <v>31</v>
      </c>
      <c r="C36" s="446" t="s">
        <v>320</v>
      </c>
      <c r="D36" s="446"/>
      <c r="E36" s="446"/>
      <c r="F36" s="13"/>
    </row>
    <row r="37" spans="1:10" ht="25.55" customHeight="1" x14ac:dyDescent="0.4">
      <c r="A37" s="9"/>
      <c r="B37" s="17" t="s">
        <v>32</v>
      </c>
      <c r="C37" s="446" t="s">
        <v>201</v>
      </c>
      <c r="D37" s="446"/>
      <c r="E37" s="446"/>
      <c r="F37" s="13"/>
    </row>
    <row r="38" spans="1:10" x14ac:dyDescent="0.4">
      <c r="A38" s="9"/>
      <c r="C38" s="13"/>
      <c r="D38" s="13"/>
      <c r="E38" s="13"/>
      <c r="F38" s="13"/>
    </row>
    <row r="39" spans="1:10" x14ac:dyDescent="0.4">
      <c r="A39" s="9"/>
      <c r="B39" s="15"/>
      <c r="C39" s="13"/>
      <c r="D39" s="13"/>
      <c r="E39" s="13"/>
      <c r="F39" s="13"/>
    </row>
    <row r="40" spans="1:10" x14ac:dyDescent="0.4">
      <c r="A40" s="9">
        <v>8</v>
      </c>
      <c r="B40" s="365" t="s">
        <v>1084</v>
      </c>
      <c r="C40" s="365"/>
      <c r="D40" s="365"/>
      <c r="E40" s="365"/>
      <c r="F40" s="11"/>
      <c r="G40" s="11"/>
      <c r="H40" s="11"/>
      <c r="I40" s="11"/>
      <c r="J40" s="11"/>
    </row>
    <row r="41" spans="1:10" x14ac:dyDescent="0.4">
      <c r="A41" s="9"/>
      <c r="B41" s="17" t="s">
        <v>34</v>
      </c>
      <c r="C41" s="446" t="s">
        <v>730</v>
      </c>
      <c r="D41" s="446"/>
      <c r="E41" s="446"/>
      <c r="F41" s="13"/>
    </row>
    <row r="42" spans="1:10" ht="15.05" x14ac:dyDescent="0.45">
      <c r="A42" s="9"/>
      <c r="B42" s="17" t="s">
        <v>31</v>
      </c>
      <c r="C42" s="446" t="s">
        <v>320</v>
      </c>
      <c r="D42" s="446"/>
      <c r="E42" s="446"/>
      <c r="F42" s="182"/>
      <c r="I42" s="182"/>
    </row>
    <row r="43" spans="1:10" x14ac:dyDescent="0.4">
      <c r="A43" s="9"/>
      <c r="B43" s="17" t="s">
        <v>32</v>
      </c>
      <c r="C43" s="446" t="s">
        <v>201</v>
      </c>
      <c r="D43" s="446"/>
      <c r="E43" s="446"/>
      <c r="F43" s="13"/>
    </row>
    <row r="44" spans="1:10" x14ac:dyDescent="0.4">
      <c r="A44" s="9"/>
      <c r="B44" s="363" t="s">
        <v>35</v>
      </c>
      <c r="C44" s="368"/>
      <c r="D44" s="368"/>
      <c r="E44" s="369"/>
      <c r="F44" s="13"/>
    </row>
    <row r="45" spans="1:10" x14ac:dyDescent="0.4">
      <c r="A45" s="2"/>
      <c r="D45" s="23"/>
      <c r="E45" s="13"/>
    </row>
    <row r="46" spans="1:10" x14ac:dyDescent="0.4">
      <c r="A46" s="24">
        <v>9</v>
      </c>
      <c r="B46" s="376" t="s">
        <v>1085</v>
      </c>
      <c r="C46" s="365"/>
      <c r="D46" s="365"/>
      <c r="E46" s="365"/>
      <c r="F46" s="25"/>
      <c r="G46" s="11"/>
      <c r="H46" s="11"/>
      <c r="I46" s="11"/>
    </row>
    <row r="47" spans="1:10" ht="25.65" x14ac:dyDescent="0.4">
      <c r="A47" s="24"/>
      <c r="B47" s="26" t="s">
        <v>37</v>
      </c>
      <c r="C47" s="27" t="s">
        <v>38</v>
      </c>
      <c r="D47" s="28" t="s">
        <v>39</v>
      </c>
      <c r="E47" s="27" t="s">
        <v>206</v>
      </c>
    </row>
    <row r="48" spans="1:10" ht="106.05" x14ac:dyDescent="0.4">
      <c r="A48" s="29"/>
      <c r="B48" s="78" t="s">
        <v>307</v>
      </c>
      <c r="C48" s="78" t="s">
        <v>1052</v>
      </c>
      <c r="D48" s="78" t="s">
        <v>1260</v>
      </c>
      <c r="E48" s="117" t="s">
        <v>186</v>
      </c>
    </row>
    <row r="49" spans="1:14" x14ac:dyDescent="0.4">
      <c r="A49" s="31"/>
      <c r="B49" s="380" t="s">
        <v>982</v>
      </c>
      <c r="C49" s="381"/>
      <c r="D49" s="381"/>
      <c r="E49" s="382"/>
      <c r="F49" s="15"/>
      <c r="G49" s="15"/>
      <c r="H49" s="15"/>
    </row>
    <row r="50" spans="1:14" x14ac:dyDescent="0.4">
      <c r="A50" s="32"/>
      <c r="B50" s="62"/>
      <c r="C50" s="23"/>
      <c r="D50" s="23"/>
      <c r="E50" s="23"/>
      <c r="F50" s="15"/>
      <c r="G50" s="15"/>
      <c r="H50" s="15"/>
      <c r="I50" s="15"/>
    </row>
    <row r="51" spans="1:14" ht="12.05" customHeight="1" x14ac:dyDescent="0.4">
      <c r="A51" s="24">
        <v>10</v>
      </c>
      <c r="B51" s="376" t="s">
        <v>1085</v>
      </c>
      <c r="C51" s="365"/>
      <c r="D51" s="365"/>
      <c r="E51" s="365"/>
      <c r="F51" s="15"/>
      <c r="G51" s="15"/>
      <c r="H51" s="15"/>
    </row>
    <row r="52" spans="1:14" hidden="1" x14ac:dyDescent="0.4">
      <c r="A52" s="29"/>
      <c r="B52" s="383" t="s">
        <v>43</v>
      </c>
      <c r="C52" s="385" t="s">
        <v>1066</v>
      </c>
      <c r="D52" s="386"/>
      <c r="E52" s="387"/>
      <c r="K52" s="1"/>
    </row>
    <row r="53" spans="1:14" ht="38.25" customHeight="1" x14ac:dyDescent="0.4">
      <c r="A53" s="29"/>
      <c r="B53" s="384"/>
      <c r="C53" s="388"/>
      <c r="D53" s="389"/>
      <c r="E53" s="390"/>
      <c r="K53" s="1"/>
    </row>
    <row r="54" spans="1:14" ht="60" customHeight="1" x14ac:dyDescent="0.4">
      <c r="A54" s="24"/>
      <c r="B54" s="33" t="s">
        <v>44</v>
      </c>
      <c r="C54" s="391" t="s">
        <v>1261</v>
      </c>
      <c r="D54" s="391"/>
      <c r="E54" s="391"/>
    </row>
    <row r="55" spans="1:14" x14ac:dyDescent="0.4">
      <c r="A55" s="29"/>
      <c r="B55" s="33" t="s">
        <v>45</v>
      </c>
      <c r="C55" s="471" t="s">
        <v>1067</v>
      </c>
      <c r="D55" s="472"/>
      <c r="E55" s="473"/>
      <c r="K55" s="34"/>
    </row>
    <row r="56" spans="1:14" x14ac:dyDescent="0.4">
      <c r="A56" s="29"/>
      <c r="B56" s="380" t="s">
        <v>982</v>
      </c>
      <c r="C56" s="381"/>
      <c r="D56" s="381"/>
      <c r="E56" s="382"/>
      <c r="K56" s="34"/>
    </row>
    <row r="57" spans="1:14" s="63" customFormat="1" x14ac:dyDescent="0.35">
      <c r="A57" s="35" t="s">
        <v>47</v>
      </c>
      <c r="B57" s="392" t="s">
        <v>48</v>
      </c>
      <c r="C57" s="392"/>
      <c r="D57" s="392"/>
      <c r="E57" s="392"/>
    </row>
    <row r="58" spans="1:14" x14ac:dyDescent="0.4">
      <c r="A58" s="40"/>
      <c r="B58" s="41"/>
      <c r="C58" s="42"/>
      <c r="D58" s="42"/>
      <c r="E58" s="42"/>
      <c r="F58" s="42"/>
    </row>
    <row r="59" spans="1:14" x14ac:dyDescent="0.4">
      <c r="A59" s="9">
        <v>11</v>
      </c>
      <c r="B59" s="3" t="s">
        <v>49</v>
      </c>
      <c r="C59" s="393" t="s">
        <v>1037</v>
      </c>
      <c r="D59" s="393"/>
      <c r="E59" s="393"/>
      <c r="F59" s="11"/>
      <c r="G59" s="282"/>
      <c r="H59" s="43"/>
      <c r="I59" s="11"/>
      <c r="J59" s="11"/>
    </row>
    <row r="60" spans="1:14" x14ac:dyDescent="0.4">
      <c r="A60" s="9"/>
      <c r="B60" s="15"/>
      <c r="C60" s="15"/>
      <c r="D60" s="15"/>
      <c r="E60" s="15"/>
      <c r="F60" s="15"/>
      <c r="G60" s="118"/>
      <c r="H60" s="44"/>
      <c r="I60" s="44"/>
      <c r="J60" s="15"/>
    </row>
    <row r="61" spans="1:14" x14ac:dyDescent="0.4">
      <c r="A61" s="9">
        <v>12</v>
      </c>
      <c r="B61" s="11" t="s">
        <v>51</v>
      </c>
      <c r="C61" s="11"/>
      <c r="D61" s="11"/>
      <c r="E61" s="43"/>
      <c r="F61" s="43"/>
      <c r="G61" s="282"/>
      <c r="H61" s="43"/>
      <c r="I61" s="11"/>
      <c r="J61" s="11"/>
      <c r="K61" s="11"/>
      <c r="L61" s="11"/>
      <c r="M61" s="11"/>
      <c r="N61" s="11"/>
    </row>
    <row r="62" spans="1:14" x14ac:dyDescent="0.4">
      <c r="A62" s="9"/>
      <c r="B62" s="11"/>
      <c r="C62" s="11"/>
      <c r="D62" s="11"/>
      <c r="E62" s="43"/>
      <c r="F62" s="43"/>
      <c r="G62" s="43"/>
      <c r="H62" s="11"/>
      <c r="I62" s="11"/>
      <c r="J62" s="11"/>
      <c r="K62" s="11"/>
      <c r="L62" s="11"/>
      <c r="M62" s="11"/>
      <c r="N62" s="11"/>
    </row>
    <row r="63" spans="1:14" x14ac:dyDescent="0.4">
      <c r="A63" s="9"/>
      <c r="B63" s="17" t="s">
        <v>52</v>
      </c>
      <c r="C63" s="446" t="s">
        <v>1054</v>
      </c>
      <c r="D63" s="446"/>
      <c r="E63" s="446"/>
      <c r="F63" s="44"/>
      <c r="G63" s="44"/>
      <c r="H63" s="15"/>
      <c r="I63" s="15"/>
      <c r="J63" s="15"/>
      <c r="K63" s="15"/>
      <c r="L63" s="15"/>
      <c r="M63" s="15"/>
      <c r="N63" s="15"/>
    </row>
    <row r="64" spans="1:14" x14ac:dyDescent="0.4">
      <c r="A64" s="9"/>
      <c r="B64" s="15"/>
      <c r="C64" s="15"/>
      <c r="D64" s="118"/>
      <c r="E64" s="118"/>
      <c r="F64" s="15"/>
      <c r="G64" s="15"/>
      <c r="H64" s="15"/>
      <c r="I64" s="15"/>
      <c r="J64" s="15"/>
      <c r="K64" s="15"/>
      <c r="L64" s="15"/>
      <c r="M64" s="15"/>
      <c r="N64" s="15"/>
    </row>
    <row r="65" spans="1:14" x14ac:dyDescent="0.4">
      <c r="A65" s="9"/>
      <c r="B65" s="365" t="s">
        <v>53</v>
      </c>
      <c r="C65" s="366" t="s">
        <v>998</v>
      </c>
      <c r="D65" s="366" t="s">
        <v>1241</v>
      </c>
      <c r="E65" s="403" t="s">
        <v>1242</v>
      </c>
      <c r="F65" s="395" t="s">
        <v>626</v>
      </c>
      <c r="G65" s="396"/>
      <c r="H65" s="397"/>
      <c r="I65" s="398" t="s">
        <v>55</v>
      </c>
      <c r="J65" s="398"/>
      <c r="K65" s="398"/>
      <c r="L65" s="398" t="s">
        <v>56</v>
      </c>
      <c r="M65" s="398"/>
      <c r="N65" s="398"/>
    </row>
    <row r="66" spans="1:14" ht="38.450000000000003" x14ac:dyDescent="0.4">
      <c r="A66" s="2"/>
      <c r="B66" s="365"/>
      <c r="C66" s="402"/>
      <c r="D66" s="402"/>
      <c r="E66" s="404"/>
      <c r="F66" s="17" t="s">
        <v>57</v>
      </c>
      <c r="G66" s="17" t="s">
        <v>58</v>
      </c>
      <c r="H66" s="17" t="s">
        <v>59</v>
      </c>
      <c r="I66" s="17" t="s">
        <v>60</v>
      </c>
      <c r="J66" s="17" t="s">
        <v>58</v>
      </c>
      <c r="K66" s="17" t="s">
        <v>59</v>
      </c>
      <c r="L66" s="17" t="s">
        <v>60</v>
      </c>
      <c r="M66" s="17" t="s">
        <v>58</v>
      </c>
      <c r="N66" s="17" t="s">
        <v>59</v>
      </c>
    </row>
    <row r="67" spans="1:14" x14ac:dyDescent="0.4">
      <c r="A67" s="2"/>
      <c r="B67" s="17" t="s">
        <v>61</v>
      </c>
      <c r="C67" s="284">
        <v>73.5</v>
      </c>
      <c r="D67" s="101">
        <v>127.1</v>
      </c>
      <c r="E67" s="101">
        <v>113.5</v>
      </c>
      <c r="F67" s="101">
        <v>72</v>
      </c>
      <c r="G67" s="101">
        <v>136.05000000000001</v>
      </c>
      <c r="H67" s="101">
        <v>66.5</v>
      </c>
      <c r="I67" s="45" t="s">
        <v>41</v>
      </c>
      <c r="J67" s="45" t="s">
        <v>41</v>
      </c>
      <c r="K67" s="45" t="s">
        <v>41</v>
      </c>
      <c r="L67" s="45" t="s">
        <v>41</v>
      </c>
      <c r="M67" s="45" t="s">
        <v>41</v>
      </c>
      <c r="N67" s="45" t="s">
        <v>41</v>
      </c>
    </row>
    <row r="68" spans="1:14" ht="25.65" x14ac:dyDescent="0.4">
      <c r="A68" s="2"/>
      <c r="B68" s="17" t="s">
        <v>216</v>
      </c>
      <c r="C68" s="284">
        <v>57991.11</v>
      </c>
      <c r="D68" s="284">
        <v>61033.55</v>
      </c>
      <c r="E68" s="101">
        <v>60747.31</v>
      </c>
      <c r="F68" s="101">
        <v>58991.519999999997</v>
      </c>
      <c r="G68" s="101">
        <v>63583.07</v>
      </c>
      <c r="H68" s="101">
        <v>57050.400000000001</v>
      </c>
      <c r="I68" s="45" t="s">
        <v>41</v>
      </c>
      <c r="J68" s="45" t="s">
        <v>41</v>
      </c>
      <c r="K68" s="45" t="s">
        <v>41</v>
      </c>
      <c r="L68" s="45" t="s">
        <v>41</v>
      </c>
      <c r="M68" s="45" t="s">
        <v>41</v>
      </c>
      <c r="N68" s="45" t="s">
        <v>41</v>
      </c>
    </row>
    <row r="69" spans="1:14" x14ac:dyDescent="0.4">
      <c r="A69" s="2"/>
      <c r="B69" s="17" t="s">
        <v>1087</v>
      </c>
      <c r="C69" s="546" t="s">
        <v>83</v>
      </c>
      <c r="D69" s="546"/>
      <c r="E69" s="546"/>
      <c r="F69" s="546"/>
      <c r="G69" s="546"/>
      <c r="H69" s="546"/>
      <c r="I69" s="546"/>
      <c r="J69" s="546"/>
      <c r="K69" s="546"/>
      <c r="L69" s="546"/>
      <c r="M69" s="546"/>
      <c r="N69" s="546"/>
    </row>
    <row r="70" spans="1:14" x14ac:dyDescent="0.4">
      <c r="A70" s="2"/>
      <c r="B70" s="399" t="s">
        <v>1100</v>
      </c>
      <c r="C70" s="399"/>
      <c r="D70" s="399"/>
      <c r="E70" s="399"/>
      <c r="F70" s="399"/>
      <c r="G70" s="399"/>
      <c r="H70" s="399"/>
      <c r="I70" s="399"/>
      <c r="J70" s="399"/>
      <c r="K70" s="399"/>
      <c r="L70" s="399"/>
      <c r="M70" s="399"/>
      <c r="N70" s="399"/>
    </row>
    <row r="71" spans="1:14" x14ac:dyDescent="0.4">
      <c r="A71" s="2"/>
      <c r="B71" s="545" t="s">
        <v>17</v>
      </c>
      <c r="C71" s="545"/>
      <c r="D71" s="545"/>
      <c r="E71" s="545"/>
      <c r="F71" s="545"/>
      <c r="G71" s="545"/>
      <c r="H71" s="545"/>
      <c r="I71" s="545"/>
      <c r="J71" s="545"/>
      <c r="K71" s="545"/>
      <c r="L71" s="545"/>
      <c r="M71" s="545"/>
      <c r="N71" s="545"/>
    </row>
    <row r="72" spans="1:14" x14ac:dyDescent="0.4">
      <c r="A72" s="2"/>
      <c r="B72" s="480" t="s">
        <v>63</v>
      </c>
      <c r="C72" s="480"/>
      <c r="D72" s="480"/>
      <c r="E72" s="480"/>
      <c r="F72" s="480"/>
      <c r="G72" s="480"/>
      <c r="H72" s="480"/>
      <c r="I72" s="480"/>
      <c r="J72" s="480"/>
      <c r="K72" s="480"/>
      <c r="L72" s="480"/>
      <c r="M72" s="480"/>
      <c r="N72" s="480"/>
    </row>
    <row r="73" spans="1:14" s="1" customFormat="1" x14ac:dyDescent="0.4">
      <c r="B73" s="474" t="s">
        <v>64</v>
      </c>
      <c r="C73" s="474"/>
      <c r="D73" s="474"/>
      <c r="E73" s="474"/>
      <c r="F73" s="474"/>
      <c r="G73" s="474"/>
      <c r="H73" s="474"/>
      <c r="I73" s="474"/>
      <c r="J73" s="474"/>
      <c r="K73" s="474"/>
      <c r="L73" s="474"/>
      <c r="M73" s="474"/>
      <c r="N73" s="474"/>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25.65" x14ac:dyDescent="0.4">
      <c r="A79" s="2"/>
      <c r="B79" s="50" t="s">
        <v>67</v>
      </c>
      <c r="C79" s="18" t="s">
        <v>68</v>
      </c>
      <c r="D79" s="18" t="s">
        <v>1127</v>
      </c>
      <c r="E79" s="18" t="s">
        <v>218</v>
      </c>
      <c r="F79" s="18" t="s">
        <v>71</v>
      </c>
      <c r="G79" s="18" t="s">
        <v>107</v>
      </c>
      <c r="H79" s="13"/>
      <c r="I79" s="13"/>
      <c r="J79" s="13"/>
      <c r="K79" s="13"/>
      <c r="L79" s="13"/>
      <c r="M79" s="13"/>
      <c r="N79" s="13"/>
    </row>
    <row r="80" spans="1:14" x14ac:dyDescent="0.35">
      <c r="A80" s="2"/>
      <c r="B80" s="394" t="s">
        <v>1271</v>
      </c>
      <c r="C80" s="3" t="s">
        <v>1055</v>
      </c>
      <c r="D80" s="65">
        <v>7.88</v>
      </c>
      <c r="E80" s="306">
        <v>5.74</v>
      </c>
      <c r="F80" s="435" t="s">
        <v>1056</v>
      </c>
      <c r="G80" s="435" t="s">
        <v>220</v>
      </c>
      <c r="H80" s="53"/>
      <c r="I80" s="53"/>
      <c r="J80" s="53"/>
      <c r="K80" s="53"/>
      <c r="L80" s="53"/>
      <c r="M80" s="53"/>
      <c r="N80" s="53"/>
    </row>
    <row r="81" spans="1:14" x14ac:dyDescent="0.4">
      <c r="A81" s="2"/>
      <c r="B81" s="394"/>
      <c r="C81" s="3" t="s">
        <v>765</v>
      </c>
      <c r="D81" s="54"/>
      <c r="E81" s="306"/>
      <c r="F81" s="436"/>
      <c r="G81" s="436"/>
      <c r="H81" s="53"/>
      <c r="I81" s="53"/>
      <c r="J81" s="53"/>
      <c r="K81" s="53"/>
      <c r="L81" s="53"/>
      <c r="M81" s="53"/>
      <c r="N81" s="53"/>
    </row>
    <row r="82" spans="1:14" x14ac:dyDescent="0.4">
      <c r="A82" s="2"/>
      <c r="B82" s="394"/>
      <c r="C82" s="21" t="s">
        <v>1057</v>
      </c>
      <c r="D82" s="54">
        <v>12.02</v>
      </c>
      <c r="E82" s="306">
        <v>0.46</v>
      </c>
      <c r="F82" s="436"/>
      <c r="G82" s="436"/>
      <c r="H82" s="53"/>
      <c r="I82" s="53"/>
      <c r="J82" s="53"/>
      <c r="K82" s="53"/>
      <c r="L82" s="53"/>
      <c r="M82" s="53"/>
      <c r="N82" s="53"/>
    </row>
    <row r="83" spans="1:14" x14ac:dyDescent="0.4">
      <c r="A83" s="2"/>
      <c r="B83" s="394"/>
      <c r="C83" s="21" t="s">
        <v>1058</v>
      </c>
      <c r="D83" s="54">
        <v>31.81</v>
      </c>
      <c r="E83" s="306">
        <v>21.94</v>
      </c>
      <c r="F83" s="436"/>
      <c r="G83" s="436"/>
      <c r="H83" s="53"/>
      <c r="I83" s="53"/>
      <c r="J83" s="53"/>
      <c r="K83" s="53"/>
      <c r="L83" s="53"/>
      <c r="M83" s="53"/>
      <c r="N83" s="53"/>
    </row>
    <row r="84" spans="1:14" x14ac:dyDescent="0.4">
      <c r="A84" s="2"/>
      <c r="B84" s="394"/>
      <c r="C84" s="21" t="s">
        <v>1059</v>
      </c>
      <c r="D84" s="54">
        <v>37.68</v>
      </c>
      <c r="E84" s="306">
        <v>25.62</v>
      </c>
      <c r="F84" s="436"/>
      <c r="G84" s="436"/>
      <c r="H84" s="53"/>
      <c r="I84" s="53"/>
      <c r="J84" s="53"/>
      <c r="K84" s="53"/>
      <c r="L84" s="53"/>
      <c r="M84" s="53"/>
      <c r="N84" s="53"/>
    </row>
    <row r="85" spans="1:14" x14ac:dyDescent="0.4">
      <c r="A85" s="2"/>
      <c r="B85" s="394"/>
      <c r="C85" s="21" t="s">
        <v>1060</v>
      </c>
      <c r="D85" s="54">
        <v>6.46</v>
      </c>
      <c r="E85" s="306">
        <v>3.47</v>
      </c>
      <c r="F85" s="436"/>
      <c r="G85" s="436"/>
      <c r="H85" s="53"/>
      <c r="I85" s="53"/>
      <c r="J85" s="53"/>
      <c r="K85" s="53"/>
      <c r="L85" s="53"/>
      <c r="M85" s="53"/>
      <c r="N85" s="53"/>
    </row>
    <row r="86" spans="1:14" x14ac:dyDescent="0.4">
      <c r="A86" s="2"/>
      <c r="B86" s="394"/>
      <c r="C86" s="3" t="s">
        <v>74</v>
      </c>
      <c r="D86" s="235">
        <f>(D82+D83+D84+D85)/4</f>
        <v>21.992499999999996</v>
      </c>
      <c r="E86" s="306">
        <f>AVERAGE(E82:E85)</f>
        <v>12.8725</v>
      </c>
      <c r="F86" s="436"/>
      <c r="G86" s="436"/>
      <c r="H86" s="53"/>
      <c r="I86" s="53"/>
      <c r="J86" s="53"/>
      <c r="K86" s="53"/>
      <c r="L86" s="53"/>
      <c r="M86" s="53"/>
      <c r="N86" s="53"/>
    </row>
    <row r="87" spans="1:14" x14ac:dyDescent="0.35">
      <c r="A87" s="2"/>
      <c r="B87" s="394" t="s">
        <v>75</v>
      </c>
      <c r="C87" s="3" t="s">
        <v>1055</v>
      </c>
      <c r="D87" s="77">
        <v>5.71</v>
      </c>
      <c r="E87" s="306">
        <f>F67/E80</f>
        <v>12.543554006968641</v>
      </c>
      <c r="F87" s="436"/>
      <c r="G87" s="436"/>
      <c r="H87" s="53"/>
      <c r="I87" s="53"/>
      <c r="J87" s="53"/>
      <c r="K87" s="53"/>
      <c r="L87" s="53"/>
      <c r="M87" s="53"/>
      <c r="N87" s="53"/>
    </row>
    <row r="88" spans="1:14" x14ac:dyDescent="0.4">
      <c r="A88" s="2"/>
      <c r="B88" s="394"/>
      <c r="C88" s="3" t="s">
        <v>73</v>
      </c>
      <c r="D88" s="54"/>
      <c r="E88" s="306"/>
      <c r="F88" s="436"/>
      <c r="G88" s="436"/>
      <c r="H88" s="53"/>
      <c r="I88" s="53"/>
      <c r="J88" s="53"/>
      <c r="K88" s="53"/>
      <c r="L88" s="53"/>
      <c r="M88" s="53"/>
      <c r="N88" s="53"/>
    </row>
    <row r="89" spans="1:14" x14ac:dyDescent="0.4">
      <c r="A89" s="2"/>
      <c r="B89" s="394"/>
      <c r="C89" s="21" t="s">
        <v>1057</v>
      </c>
      <c r="D89" s="54">
        <v>20.13</v>
      </c>
      <c r="E89" s="306">
        <f>13.25/E82</f>
        <v>28.804347826086957</v>
      </c>
      <c r="F89" s="436"/>
      <c r="G89" s="436"/>
      <c r="H89" s="53"/>
      <c r="I89" s="53"/>
      <c r="J89" s="53"/>
      <c r="K89" s="53"/>
      <c r="L89" s="53"/>
      <c r="M89" s="53"/>
      <c r="N89" s="53"/>
    </row>
    <row r="90" spans="1:14" x14ac:dyDescent="0.4">
      <c r="A90" s="2"/>
      <c r="B90" s="394"/>
      <c r="C90" s="21" t="s">
        <v>1058</v>
      </c>
      <c r="D90" s="54">
        <v>7.17</v>
      </c>
      <c r="E90" s="306">
        <f>363.3/E83</f>
        <v>16.558796718322697</v>
      </c>
      <c r="F90" s="436"/>
      <c r="G90" s="436"/>
      <c r="H90" s="53"/>
      <c r="I90" s="53"/>
      <c r="J90" s="53"/>
      <c r="K90" s="53"/>
      <c r="L90" s="53"/>
      <c r="M90" s="53"/>
      <c r="N90" s="53"/>
    </row>
    <row r="91" spans="1:14" x14ac:dyDescent="0.4">
      <c r="A91" s="2"/>
      <c r="B91" s="394"/>
      <c r="C91" s="21" t="s">
        <v>1061</v>
      </c>
      <c r="D91" s="54">
        <v>10.130000000000001</v>
      </c>
      <c r="E91" s="306">
        <f>355.65/E84</f>
        <v>13.881733021077283</v>
      </c>
      <c r="F91" s="436"/>
      <c r="G91" s="436"/>
      <c r="H91" s="53"/>
      <c r="I91" s="53"/>
      <c r="J91" s="53"/>
      <c r="K91" s="53"/>
      <c r="L91" s="53"/>
      <c r="M91" s="53"/>
      <c r="N91" s="53"/>
    </row>
    <row r="92" spans="1:14" x14ac:dyDescent="0.4">
      <c r="A92" s="2"/>
      <c r="B92" s="394"/>
      <c r="C92" s="21" t="s">
        <v>1060</v>
      </c>
      <c r="D92" s="54">
        <v>21.38</v>
      </c>
      <c r="E92" s="306">
        <f>123.75/3.47</f>
        <v>35.662824207492797</v>
      </c>
      <c r="F92" s="436"/>
      <c r="G92" s="436"/>
      <c r="H92" s="53"/>
      <c r="I92" s="53"/>
      <c r="J92" s="53"/>
      <c r="K92" s="53"/>
      <c r="L92" s="53"/>
      <c r="M92" s="53"/>
      <c r="N92" s="53"/>
    </row>
    <row r="93" spans="1:14" x14ac:dyDescent="0.4">
      <c r="A93" s="2"/>
      <c r="B93" s="394"/>
      <c r="C93" s="3" t="s">
        <v>74</v>
      </c>
      <c r="D93" s="127">
        <f>(D89+D90+D91+D92)/4</f>
        <v>14.702500000000001</v>
      </c>
      <c r="E93" s="306">
        <f>AVERAGE(E89:E92)</f>
        <v>23.72692544324493</v>
      </c>
      <c r="F93" s="436"/>
      <c r="G93" s="436"/>
      <c r="H93" s="53"/>
      <c r="I93" s="53"/>
      <c r="J93" s="53"/>
      <c r="K93" s="53"/>
      <c r="L93" s="53"/>
      <c r="M93" s="53"/>
      <c r="N93" s="53"/>
    </row>
    <row r="94" spans="1:14" ht="14.6" x14ac:dyDescent="0.4">
      <c r="A94" s="2"/>
      <c r="B94" s="394" t="s">
        <v>76</v>
      </c>
      <c r="C94" s="3" t="s">
        <v>1062</v>
      </c>
      <c r="D94" s="97">
        <v>0.44390000000000002</v>
      </c>
      <c r="E94" s="307">
        <f>234.33/1270.41</f>
        <v>0.18445226344251067</v>
      </c>
      <c r="F94" s="436"/>
      <c r="G94" s="436"/>
      <c r="H94" s="53"/>
      <c r="I94"/>
      <c r="J94"/>
      <c r="K94"/>
      <c r="L94"/>
      <c r="M94"/>
      <c r="N94"/>
    </row>
    <row r="95" spans="1:14" x14ac:dyDescent="0.4">
      <c r="A95" s="2"/>
      <c r="B95" s="394"/>
      <c r="C95" s="3" t="s">
        <v>73</v>
      </c>
      <c r="D95" s="54"/>
      <c r="E95" s="306"/>
      <c r="F95" s="436"/>
      <c r="G95" s="436"/>
      <c r="H95" s="53"/>
      <c r="I95" s="53"/>
      <c r="J95" s="53"/>
      <c r="K95" s="53"/>
      <c r="L95" s="53"/>
      <c r="M95" s="53"/>
      <c r="N95" s="53"/>
    </row>
    <row r="96" spans="1:14" x14ac:dyDescent="0.4">
      <c r="A96" s="2"/>
      <c r="B96" s="394"/>
      <c r="C96" s="21" t="s">
        <v>1057</v>
      </c>
      <c r="D96" s="195">
        <v>0.1673</v>
      </c>
      <c r="E96" s="71">
        <f>82.19/1156.4</f>
        <v>7.107402282947077E-2</v>
      </c>
      <c r="F96" s="436"/>
      <c r="G96" s="436"/>
      <c r="H96" s="53"/>
      <c r="I96" s="53"/>
      <c r="J96" s="53"/>
      <c r="K96" s="53"/>
      <c r="L96" s="53"/>
      <c r="M96" s="53"/>
      <c r="N96" s="53"/>
    </row>
    <row r="97" spans="1:14" x14ac:dyDescent="0.4">
      <c r="A97" s="2"/>
      <c r="B97" s="394"/>
      <c r="C97" s="21" t="s">
        <v>1058</v>
      </c>
      <c r="D97" s="195">
        <v>0.45190000000000002</v>
      </c>
      <c r="E97" s="308">
        <f>2321.22/9762.85</f>
        <v>0.23776049002084429</v>
      </c>
      <c r="F97" s="436"/>
      <c r="G97" s="436"/>
      <c r="H97" s="53"/>
      <c r="I97" s="53"/>
      <c r="J97" s="53"/>
      <c r="K97" s="53"/>
      <c r="L97" s="53"/>
      <c r="M97" s="53"/>
      <c r="N97" s="53"/>
    </row>
    <row r="98" spans="1:14" x14ac:dyDescent="0.4">
      <c r="A98" s="2"/>
      <c r="B98" s="394"/>
      <c r="C98" s="21" t="s">
        <v>1061</v>
      </c>
      <c r="D98" s="195">
        <v>0.2928</v>
      </c>
      <c r="E98" s="306">
        <v>23.21</v>
      </c>
      <c r="F98" s="436"/>
      <c r="G98" s="436"/>
      <c r="H98" s="53"/>
      <c r="I98" s="53"/>
      <c r="J98" s="53"/>
      <c r="K98" s="53"/>
      <c r="L98" s="53"/>
      <c r="M98" s="53"/>
      <c r="N98" s="53"/>
    </row>
    <row r="99" spans="1:14" x14ac:dyDescent="0.35">
      <c r="A99" s="2"/>
      <c r="B99" s="394"/>
      <c r="C99" s="21" t="s">
        <v>1060</v>
      </c>
      <c r="D99" s="97">
        <v>0.17019999999999999</v>
      </c>
      <c r="E99" s="308">
        <f>522.3/7731.7</f>
        <v>6.7553060775767296E-2</v>
      </c>
      <c r="F99" s="436"/>
      <c r="G99" s="436"/>
      <c r="H99" s="53"/>
      <c r="I99" s="53"/>
      <c r="J99" s="53"/>
      <c r="K99" s="53"/>
      <c r="L99" s="53"/>
      <c r="M99" s="53"/>
      <c r="N99" s="53"/>
    </row>
    <row r="100" spans="1:14" x14ac:dyDescent="0.4">
      <c r="A100" s="2"/>
      <c r="B100" s="394"/>
      <c r="C100" s="3" t="s">
        <v>74</v>
      </c>
      <c r="D100" s="196">
        <f>(D96+D97+D98+D99)/4</f>
        <v>0.27054999999999996</v>
      </c>
      <c r="E100" s="306">
        <f>AVERAGE(E96:E99)</f>
        <v>5.8965968934065209</v>
      </c>
      <c r="F100" s="436"/>
      <c r="G100" s="436"/>
      <c r="H100" s="53"/>
      <c r="I100" s="53"/>
      <c r="J100" s="53"/>
      <c r="K100" s="53"/>
      <c r="L100" s="53"/>
      <c r="M100" s="53"/>
      <c r="N100" s="53"/>
    </row>
    <row r="101" spans="1:14" x14ac:dyDescent="0.35">
      <c r="A101" s="2"/>
      <c r="B101" s="394" t="s">
        <v>77</v>
      </c>
      <c r="C101" s="3" t="s">
        <v>1055</v>
      </c>
      <c r="D101" s="65">
        <v>17.739999999999998</v>
      </c>
      <c r="E101" s="306">
        <f>1270.41/16.8</f>
        <v>75.619642857142864</v>
      </c>
      <c r="F101" s="436"/>
      <c r="G101" s="436"/>
      <c r="H101" s="53"/>
      <c r="I101" s="53"/>
      <c r="J101" s="53"/>
      <c r="K101" s="53"/>
      <c r="L101" s="53"/>
      <c r="M101" s="53"/>
      <c r="N101" s="53"/>
    </row>
    <row r="102" spans="1:14" x14ac:dyDescent="0.4">
      <c r="A102" s="2"/>
      <c r="B102" s="394"/>
      <c r="C102" s="3" t="s">
        <v>1063</v>
      </c>
      <c r="D102" s="54"/>
      <c r="E102" s="306"/>
      <c r="F102" s="436"/>
      <c r="G102" s="436"/>
      <c r="H102" s="53"/>
      <c r="I102" s="53"/>
      <c r="J102" s="53"/>
      <c r="K102" s="53"/>
      <c r="L102" s="53"/>
      <c r="M102" s="53"/>
      <c r="N102" s="53"/>
    </row>
    <row r="103" spans="1:14" x14ac:dyDescent="0.4">
      <c r="A103" s="2"/>
      <c r="B103" s="411"/>
      <c r="C103" s="21" t="s">
        <v>1057</v>
      </c>
      <c r="D103" s="54">
        <v>71.540000000000006</v>
      </c>
      <c r="E103" s="306">
        <f>1156.8/150.56</f>
        <v>7.6833156216790641</v>
      </c>
      <c r="F103" s="436"/>
      <c r="G103" s="436"/>
      <c r="H103" s="53"/>
      <c r="I103" s="53"/>
      <c r="J103" s="53"/>
      <c r="K103" s="53"/>
      <c r="L103" s="53"/>
      <c r="M103" s="53"/>
      <c r="N103" s="53"/>
    </row>
    <row r="104" spans="1:14" x14ac:dyDescent="0.4">
      <c r="A104" s="2"/>
      <c r="B104" s="411"/>
      <c r="C104" s="21" t="s">
        <v>1058</v>
      </c>
      <c r="D104" s="54">
        <v>7.04</v>
      </c>
      <c r="E104" s="306">
        <f>9762.85/105.725</f>
        <v>92.341924804918435</v>
      </c>
      <c r="F104" s="436"/>
      <c r="G104" s="436"/>
      <c r="H104" s="53"/>
      <c r="I104" s="53"/>
      <c r="J104" s="53"/>
      <c r="K104" s="53"/>
      <c r="L104" s="53"/>
      <c r="M104" s="53"/>
      <c r="N104" s="53"/>
    </row>
    <row r="105" spans="1:14" x14ac:dyDescent="0.4">
      <c r="A105" s="2"/>
      <c r="B105" s="411"/>
      <c r="C105" s="21" t="s">
        <v>1061</v>
      </c>
      <c r="D105" s="54">
        <v>77.98</v>
      </c>
      <c r="E105" s="306">
        <v>114.54</v>
      </c>
      <c r="F105" s="436"/>
      <c r="G105" s="436"/>
      <c r="H105" s="53"/>
      <c r="I105" s="53"/>
      <c r="J105" s="53"/>
      <c r="K105" s="53"/>
      <c r="L105" s="53"/>
      <c r="M105" s="53"/>
      <c r="N105" s="53"/>
    </row>
    <row r="106" spans="1:14" x14ac:dyDescent="0.4">
      <c r="A106" s="2"/>
      <c r="B106" s="411"/>
      <c r="C106" s="21" t="s">
        <v>1060</v>
      </c>
      <c r="D106" s="54">
        <v>42.98</v>
      </c>
      <c r="E106" s="306">
        <f>7731.7/161.27</f>
        <v>47.942580765176409</v>
      </c>
      <c r="F106" s="436"/>
      <c r="G106" s="436"/>
      <c r="H106" s="53"/>
      <c r="I106" s="53"/>
      <c r="J106" s="53"/>
      <c r="K106" s="53"/>
      <c r="L106" s="53"/>
      <c r="M106" s="53"/>
      <c r="N106" s="53"/>
    </row>
    <row r="107" spans="1:14" x14ac:dyDescent="0.4">
      <c r="A107" s="2"/>
      <c r="B107" s="411"/>
      <c r="C107" s="3" t="s">
        <v>74</v>
      </c>
      <c r="D107" s="127">
        <f>(D103+D104+D105+D106)/4</f>
        <v>49.884999999999998</v>
      </c>
      <c r="E107" s="306">
        <f>AVERAGE(E103:E106)</f>
        <v>65.626955297943468</v>
      </c>
      <c r="F107" s="547"/>
      <c r="G107" s="436"/>
      <c r="H107" s="53"/>
      <c r="I107" s="53"/>
      <c r="J107" s="53"/>
      <c r="K107" s="53"/>
      <c r="L107" s="53"/>
      <c r="M107" s="53"/>
      <c r="N107" s="53"/>
    </row>
    <row r="108" spans="1:14" s="1" customFormat="1" x14ac:dyDescent="0.4">
      <c r="B108" s="412"/>
      <c r="C108" s="413"/>
      <c r="D108" s="413"/>
      <c r="E108" s="413"/>
      <c r="F108" s="413"/>
      <c r="G108" s="414"/>
    </row>
    <row r="109" spans="1:14" x14ac:dyDescent="0.4">
      <c r="A109" s="2"/>
      <c r="B109" s="415" t="s">
        <v>1064</v>
      </c>
      <c r="C109" s="416"/>
      <c r="D109" s="416"/>
      <c r="E109" s="416"/>
      <c r="F109" s="416"/>
      <c r="G109" s="417"/>
      <c r="H109" s="53"/>
      <c r="I109" s="53"/>
      <c r="J109" s="53"/>
      <c r="K109" s="53"/>
      <c r="L109" s="53"/>
      <c r="M109" s="53"/>
      <c r="N109" s="53"/>
    </row>
    <row r="110" spans="1:14" x14ac:dyDescent="0.4">
      <c r="A110" s="2"/>
      <c r="B110" s="418" t="s">
        <v>85</v>
      </c>
      <c r="C110" s="419"/>
      <c r="D110" s="419"/>
      <c r="E110" s="419"/>
      <c r="F110" s="419"/>
      <c r="G110" s="420"/>
      <c r="H110" s="53"/>
      <c r="I110" s="53"/>
      <c r="J110" s="53"/>
      <c r="K110" s="53"/>
      <c r="L110" s="53"/>
      <c r="M110" s="53"/>
      <c r="N110" s="53"/>
    </row>
    <row r="111" spans="1:14" x14ac:dyDescent="0.4">
      <c r="A111" s="2"/>
      <c r="B111" s="363" t="s">
        <v>1065</v>
      </c>
      <c r="C111" s="368"/>
      <c r="D111" s="368"/>
      <c r="E111" s="368"/>
      <c r="F111" s="368"/>
      <c r="G111" s="369"/>
      <c r="H111" s="53"/>
      <c r="I111" s="53"/>
      <c r="J111" s="53"/>
      <c r="K111" s="53"/>
      <c r="L111" s="53"/>
      <c r="M111" s="53"/>
      <c r="N111" s="53"/>
    </row>
    <row r="112" spans="1:14" x14ac:dyDescent="0.4">
      <c r="C112" s="407"/>
      <c r="D112" s="407"/>
      <c r="E112" s="407"/>
      <c r="F112" s="407"/>
      <c r="G112" s="407"/>
      <c r="H112" s="53"/>
      <c r="I112" s="53"/>
    </row>
    <row r="113" spans="1:8" x14ac:dyDescent="0.4">
      <c r="A113" s="9">
        <v>14</v>
      </c>
      <c r="B113" s="61" t="s">
        <v>78</v>
      </c>
      <c r="C113" s="448" t="s">
        <v>41</v>
      </c>
      <c r="D113" s="449"/>
      <c r="E113" s="449"/>
      <c r="F113" s="449"/>
      <c r="G113" s="450"/>
    </row>
    <row r="114" spans="1:8" x14ac:dyDescent="0.4">
      <c r="A114" s="23"/>
      <c r="C114" s="69"/>
      <c r="D114" s="69"/>
      <c r="E114" s="69"/>
      <c r="F114" s="69"/>
      <c r="G114" s="69"/>
    </row>
    <row r="117" spans="1:8" ht="12.7" customHeight="1" x14ac:dyDescent="0.4">
      <c r="B117" s="548" t="s">
        <v>1004</v>
      </c>
      <c r="C117" s="549"/>
      <c r="D117" s="549"/>
      <c r="E117" s="549"/>
      <c r="F117" s="549"/>
      <c r="G117" s="549"/>
      <c r="H117" s="295"/>
    </row>
    <row r="119" spans="1:8" ht="25.55" customHeight="1" x14ac:dyDescent="0.4">
      <c r="B119" s="497" t="s">
        <v>1234</v>
      </c>
      <c r="C119" s="497"/>
      <c r="D119" s="497"/>
      <c r="E119" s="497"/>
      <c r="F119" s="497"/>
      <c r="G119" s="497"/>
    </row>
    <row r="120" spans="1:8" x14ac:dyDescent="0.4">
      <c r="C120" s="230"/>
      <c r="D120" s="230"/>
    </row>
    <row r="121" spans="1:8" x14ac:dyDescent="0.4">
      <c r="C121" s="230"/>
    </row>
    <row r="122" spans="1:8" x14ac:dyDescent="0.4">
      <c r="C122" s="230"/>
      <c r="D122" s="230"/>
      <c r="E122" s="107"/>
    </row>
    <row r="123" spans="1:8" x14ac:dyDescent="0.4">
      <c r="C123" s="230"/>
      <c r="E123" s="107"/>
    </row>
  </sheetData>
  <sheetProtection algorithmName="SHA-512" hashValue="affF8AWiuUhUfcBkgzl26hUW4rG9FatwgRYXDoxvOhNxc5hb+P93oACLmDCM8iEM7ZwWTERrte1pKDWucLAaYQ==" saltValue="Z+xRdaYVkjTsIyhyXzZtXQ==" spinCount="100000" sheet="1" objects="1" scenarios="1"/>
  <mergeCells count="70">
    <mergeCell ref="C113:G113"/>
    <mergeCell ref="B108:G108"/>
    <mergeCell ref="B109:G109"/>
    <mergeCell ref="B110:G110"/>
    <mergeCell ref="B111:G111"/>
    <mergeCell ref="C112:G112"/>
    <mergeCell ref="B74:N74"/>
    <mergeCell ref="B75:N75"/>
    <mergeCell ref="B77:G77"/>
    <mergeCell ref="B80:B86"/>
    <mergeCell ref="F80:F107"/>
    <mergeCell ref="G80:G107"/>
    <mergeCell ref="B87:B93"/>
    <mergeCell ref="B94:B100"/>
    <mergeCell ref="B101:B107"/>
    <mergeCell ref="B51:E51"/>
    <mergeCell ref="B73:N73"/>
    <mergeCell ref="C54:E54"/>
    <mergeCell ref="C55:E55"/>
    <mergeCell ref="B56:E56"/>
    <mergeCell ref="B57:E57"/>
    <mergeCell ref="C59:E59"/>
    <mergeCell ref="B65:B66"/>
    <mergeCell ref="C65:C66"/>
    <mergeCell ref="D65:D66"/>
    <mergeCell ref="E65:E66"/>
    <mergeCell ref="F65:H65"/>
    <mergeCell ref="I65:K65"/>
    <mergeCell ref="L65:N65"/>
    <mergeCell ref="B71:N71"/>
    <mergeCell ref="B72:N72"/>
    <mergeCell ref="A1:B1"/>
    <mergeCell ref="C3:E3"/>
    <mergeCell ref="C5:E5"/>
    <mergeCell ref="D28:D31"/>
    <mergeCell ref="E28:E31"/>
    <mergeCell ref="B17:E17"/>
    <mergeCell ref="C18:E18"/>
    <mergeCell ref="C19:E19"/>
    <mergeCell ref="C20:E20"/>
    <mergeCell ref="C21:E21"/>
    <mergeCell ref="C22:E22"/>
    <mergeCell ref="B25:E25"/>
    <mergeCell ref="B26:E26"/>
    <mergeCell ref="B6:E6"/>
    <mergeCell ref="C8:E8"/>
    <mergeCell ref="B119:G119"/>
    <mergeCell ref="B117:G117"/>
    <mergeCell ref="B15:E15"/>
    <mergeCell ref="C35:E35"/>
    <mergeCell ref="C36:E36"/>
    <mergeCell ref="C37:E37"/>
    <mergeCell ref="C63:E63"/>
    <mergeCell ref="C69:N69"/>
    <mergeCell ref="B70:N70"/>
    <mergeCell ref="B52:B53"/>
    <mergeCell ref="C52:E53"/>
    <mergeCell ref="B32:E32"/>
    <mergeCell ref="C43:E43"/>
    <mergeCell ref="B44:E44"/>
    <mergeCell ref="B46:E46"/>
    <mergeCell ref="B49:E49"/>
    <mergeCell ref="B34:E34"/>
    <mergeCell ref="B40:E40"/>
    <mergeCell ref="C41:E41"/>
    <mergeCell ref="C42:E42"/>
    <mergeCell ref="B9:E9"/>
    <mergeCell ref="B12:E12"/>
    <mergeCell ref="C14:E14"/>
    <mergeCell ref="C11:E11"/>
  </mergeCells>
  <pageMargins left="0" right="0" top="0.42499999999999999" bottom="0.75" header="0.10625" footer="0.3"/>
  <pageSetup paperSize="5" scale="82" orientation="landscape" verticalDpi="1200" r:id="rId1"/>
  <rowBreaks count="2" manualBreakCount="2">
    <brk id="45" max="16383" man="1"/>
    <brk id="76"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N104"/>
  <sheetViews>
    <sheetView view="pageBreakPreview" topLeftCell="B1" zoomScaleNormal="100" zoomScaleSheetLayoutView="100" zoomScalePageLayoutView="50" workbookViewId="0">
      <selection activeCell="B92" sqref="B92:G92"/>
    </sheetView>
  </sheetViews>
  <sheetFormatPr defaultColWidth="8.84375" defaultRowHeight="13.25" x14ac:dyDescent="0.4"/>
  <cols>
    <col min="1" max="1" width="8.84375" style="8"/>
    <col min="2" max="2" width="40.84375" style="8" customWidth="1"/>
    <col min="3" max="3" width="31.3046875" style="8" customWidth="1"/>
    <col min="4" max="4" width="19.3046875" style="8" customWidth="1"/>
    <col min="5" max="5" width="22.3046875" style="8" customWidth="1"/>
    <col min="6" max="6" width="11.3046875" style="8" customWidth="1"/>
    <col min="7" max="7" width="12.69140625" style="8" customWidth="1"/>
    <col min="8" max="8" width="9.84375" style="8" customWidth="1"/>
    <col min="9" max="16384" width="8.84375" style="8"/>
  </cols>
  <sheetData>
    <row r="1" spans="1:5" x14ac:dyDescent="0.4">
      <c r="A1" s="355" t="s">
        <v>0</v>
      </c>
      <c r="B1" s="355"/>
      <c r="D1" s="1"/>
    </row>
    <row r="3" spans="1:5" x14ac:dyDescent="0.4">
      <c r="A3" s="2" t="s">
        <v>1</v>
      </c>
      <c r="B3" s="3" t="s">
        <v>2</v>
      </c>
      <c r="C3" s="497" t="s">
        <v>1068</v>
      </c>
      <c r="D3" s="497"/>
      <c r="E3" s="497"/>
    </row>
    <row r="4" spans="1:5" x14ac:dyDescent="0.4">
      <c r="C4" s="23"/>
      <c r="D4" s="5"/>
      <c r="E4" s="23"/>
    </row>
    <row r="5" spans="1:5" x14ac:dyDescent="0.4">
      <c r="A5" s="36">
        <v>1</v>
      </c>
      <c r="B5" s="3" t="s">
        <v>3</v>
      </c>
      <c r="C5" s="497" t="s">
        <v>702</v>
      </c>
      <c r="D5" s="497"/>
      <c r="E5" s="497"/>
    </row>
    <row r="6" spans="1:5" x14ac:dyDescent="0.4">
      <c r="A6" s="9"/>
      <c r="B6" s="480" t="s">
        <v>5</v>
      </c>
      <c r="C6" s="480"/>
      <c r="D6" s="480"/>
      <c r="E6" s="480"/>
    </row>
    <row r="7" spans="1:5" x14ac:dyDescent="0.4">
      <c r="A7" s="9"/>
      <c r="B7" s="11"/>
      <c r="D7" s="5"/>
    </row>
    <row r="8" spans="1:5" x14ac:dyDescent="0.4">
      <c r="A8" s="9">
        <v>2</v>
      </c>
      <c r="B8" s="3" t="s">
        <v>6</v>
      </c>
      <c r="C8" s="497" t="s">
        <v>1069</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46" t="s">
        <v>1070</v>
      </c>
      <c r="D14" s="446"/>
      <c r="E14" s="446"/>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0.10609200000000001</v>
      </c>
      <c r="D18" s="367"/>
      <c r="E18" s="367"/>
      <c r="F18" s="15"/>
      <c r="G18" s="13"/>
      <c r="H18" s="13"/>
      <c r="I18" s="13"/>
      <c r="J18" s="13"/>
      <c r="K18" s="13"/>
      <c r="L18" s="13"/>
      <c r="M18" s="13"/>
      <c r="N18" s="13"/>
    </row>
    <row r="19" spans="1:14" ht="25.65" x14ac:dyDescent="0.4">
      <c r="A19" s="9"/>
      <c r="B19" s="14" t="s">
        <v>1078</v>
      </c>
      <c r="C19" s="625">
        <v>2.24E-2</v>
      </c>
      <c r="D19" s="606"/>
      <c r="E19" s="607"/>
      <c r="F19" s="15"/>
      <c r="G19" s="13"/>
      <c r="I19" s="13"/>
      <c r="J19" s="13"/>
      <c r="K19" s="13"/>
      <c r="L19" s="13"/>
      <c r="M19" s="13"/>
      <c r="N19" s="13"/>
    </row>
    <row r="20" spans="1:14" x14ac:dyDescent="0.4">
      <c r="A20" s="9"/>
      <c r="B20" s="14" t="s">
        <v>605</v>
      </c>
      <c r="C20" s="625">
        <v>2.24E-2</v>
      </c>
      <c r="D20" s="606"/>
      <c r="E20" s="607"/>
      <c r="F20" s="15"/>
      <c r="G20" s="13"/>
      <c r="H20" s="13"/>
      <c r="I20" s="13"/>
      <c r="J20" s="13"/>
      <c r="K20" s="13"/>
      <c r="L20" s="13"/>
      <c r="M20" s="13"/>
      <c r="N20" s="13"/>
    </row>
    <row r="21" spans="1:14" x14ac:dyDescent="0.4">
      <c r="A21" s="9"/>
      <c r="B21" s="16" t="s">
        <v>15</v>
      </c>
      <c r="C21" s="447" t="s">
        <v>1071</v>
      </c>
      <c r="D21" s="447"/>
      <c r="E21" s="447"/>
      <c r="F21" s="15"/>
      <c r="G21" s="13"/>
      <c r="H21" s="13"/>
      <c r="I21" s="13"/>
      <c r="J21" s="13"/>
      <c r="K21" s="13"/>
      <c r="L21" s="13"/>
      <c r="M21" s="13"/>
      <c r="N21" s="13"/>
    </row>
    <row r="22" spans="1:14" x14ac:dyDescent="0.4">
      <c r="A22" s="9"/>
      <c r="B22" s="17" t="s">
        <v>16</v>
      </c>
      <c r="C22" s="446" t="s">
        <v>1072</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ht="12.7" customHeight="1" x14ac:dyDescent="0.4">
      <c r="A28" s="9"/>
      <c r="B28" s="19" t="s">
        <v>24</v>
      </c>
      <c r="C28" s="20">
        <v>4960.6400000000003</v>
      </c>
      <c r="D28" s="540" t="s">
        <v>1071</v>
      </c>
      <c r="E28" s="540" t="s">
        <v>1072</v>
      </c>
      <c r="F28" s="15"/>
    </row>
    <row r="29" spans="1:14" x14ac:dyDescent="0.4">
      <c r="A29" s="9"/>
      <c r="B29" s="19" t="s">
        <v>25</v>
      </c>
      <c r="C29" s="20">
        <v>544.61</v>
      </c>
      <c r="D29" s="541"/>
      <c r="E29" s="541"/>
      <c r="F29" s="15"/>
    </row>
    <row r="30" spans="1:14" x14ac:dyDescent="0.4">
      <c r="A30" s="9"/>
      <c r="B30" s="19" t="s">
        <v>26</v>
      </c>
      <c r="C30" s="20">
        <v>571.20000000000005</v>
      </c>
      <c r="D30" s="541"/>
      <c r="E30" s="541"/>
      <c r="F30" s="15"/>
    </row>
    <row r="31" spans="1:14" x14ac:dyDescent="0.4">
      <c r="A31" s="9"/>
      <c r="B31" s="19" t="s">
        <v>27</v>
      </c>
      <c r="C31" s="20">
        <v>1551.92</v>
      </c>
      <c r="D31" s="542"/>
      <c r="E31" s="542"/>
      <c r="F31" s="15"/>
    </row>
    <row r="32" spans="1:14" x14ac:dyDescent="0.4">
      <c r="A32" s="9"/>
      <c r="B32" s="363" t="s">
        <v>709</v>
      </c>
      <c r="C32" s="368"/>
      <c r="D32" s="368"/>
      <c r="E32" s="369"/>
      <c r="F32" s="15"/>
    </row>
    <row r="33" spans="1:10" x14ac:dyDescent="0.4">
      <c r="A33" s="9"/>
      <c r="B33" s="13"/>
      <c r="C33" s="15"/>
      <c r="D33" s="15"/>
      <c r="E33" s="15"/>
      <c r="F33" s="15"/>
    </row>
    <row r="34" spans="1:10" x14ac:dyDescent="0.4">
      <c r="A34" s="9">
        <v>7</v>
      </c>
      <c r="B34" s="365" t="s">
        <v>28</v>
      </c>
      <c r="C34" s="365"/>
      <c r="D34" s="365"/>
      <c r="E34" s="365"/>
      <c r="F34" s="11"/>
      <c r="G34" s="11"/>
      <c r="H34" s="11"/>
      <c r="I34" s="11"/>
      <c r="J34" s="11"/>
    </row>
    <row r="35" spans="1:10" x14ac:dyDescent="0.4">
      <c r="A35" s="9"/>
      <c r="B35" s="17" t="s">
        <v>29</v>
      </c>
      <c r="C35" s="446" t="s">
        <v>30</v>
      </c>
      <c r="D35" s="446"/>
      <c r="E35" s="446"/>
      <c r="F35" s="13"/>
    </row>
    <row r="36" spans="1:10" x14ac:dyDescent="0.4">
      <c r="A36" s="9"/>
      <c r="B36" s="17" t="s">
        <v>31</v>
      </c>
      <c r="C36" s="446" t="s">
        <v>1071</v>
      </c>
      <c r="D36" s="446"/>
      <c r="E36" s="446"/>
      <c r="F36" s="13"/>
    </row>
    <row r="37" spans="1:10" x14ac:dyDescent="0.4">
      <c r="A37" s="9"/>
      <c r="B37" s="17" t="s">
        <v>32</v>
      </c>
      <c r="C37" s="446" t="s">
        <v>1072</v>
      </c>
      <c r="D37" s="446"/>
      <c r="E37" s="446"/>
      <c r="F37" s="13"/>
    </row>
    <row r="38" spans="1:10" x14ac:dyDescent="0.4">
      <c r="A38" s="9"/>
      <c r="C38" s="13"/>
      <c r="D38" s="13"/>
      <c r="E38" s="13"/>
      <c r="F38" s="13"/>
    </row>
    <row r="39" spans="1:10" x14ac:dyDescent="0.4">
      <c r="A39" s="9"/>
      <c r="B39" s="15"/>
      <c r="C39" s="13"/>
      <c r="D39" s="13"/>
      <c r="E39" s="13"/>
      <c r="F39" s="13"/>
    </row>
    <row r="40" spans="1:10" x14ac:dyDescent="0.4">
      <c r="A40" s="9">
        <v>8</v>
      </c>
      <c r="B40" s="365" t="s">
        <v>1084</v>
      </c>
      <c r="C40" s="365"/>
      <c r="D40" s="365"/>
      <c r="E40" s="365"/>
      <c r="F40" s="11"/>
      <c r="G40" s="11"/>
      <c r="H40" s="11"/>
      <c r="I40" s="11"/>
      <c r="J40" s="11"/>
    </row>
    <row r="41" spans="1:10" x14ac:dyDescent="0.4">
      <c r="A41" s="9"/>
      <c r="B41" s="17" t="s">
        <v>34</v>
      </c>
      <c r="C41" s="373" t="s">
        <v>730</v>
      </c>
      <c r="D41" s="374"/>
      <c r="E41" s="375"/>
      <c r="F41" s="13"/>
    </row>
    <row r="42" spans="1:10" ht="15.05" x14ac:dyDescent="0.45">
      <c r="A42" s="9"/>
      <c r="B42" s="17" t="s">
        <v>31</v>
      </c>
      <c r="C42" s="373" t="s">
        <v>1071</v>
      </c>
      <c r="D42" s="374"/>
      <c r="E42" s="375"/>
      <c r="F42" s="182"/>
      <c r="I42" s="182"/>
    </row>
    <row r="43" spans="1:10" x14ac:dyDescent="0.4">
      <c r="A43" s="9"/>
      <c r="B43" s="17" t="s">
        <v>32</v>
      </c>
      <c r="C43" s="373" t="s">
        <v>1072</v>
      </c>
      <c r="D43" s="374"/>
      <c r="E43" s="375"/>
      <c r="F43" s="13"/>
    </row>
    <row r="44" spans="1:10" x14ac:dyDescent="0.4">
      <c r="A44" s="9"/>
      <c r="B44" s="363" t="s">
        <v>1073</v>
      </c>
      <c r="C44" s="368"/>
      <c r="D44" s="368"/>
      <c r="E44" s="369"/>
      <c r="F44" s="13"/>
    </row>
    <row r="45" spans="1:10" x14ac:dyDescent="0.4">
      <c r="A45" s="2"/>
      <c r="D45" s="23"/>
      <c r="E45" s="13"/>
    </row>
    <row r="46" spans="1:10" x14ac:dyDescent="0.4">
      <c r="A46" s="24">
        <v>9</v>
      </c>
      <c r="B46" s="553" t="s">
        <v>1085</v>
      </c>
      <c r="C46" s="366"/>
      <c r="D46" s="366"/>
      <c r="E46" s="366"/>
      <c r="F46" s="25"/>
      <c r="G46" s="11"/>
      <c r="H46" s="11"/>
      <c r="I46" s="11"/>
    </row>
    <row r="47" spans="1:10" ht="46.5" customHeight="1" x14ac:dyDescent="0.4">
      <c r="A47" s="24"/>
      <c r="B47" s="27" t="s">
        <v>37</v>
      </c>
      <c r="C47" s="515" t="s">
        <v>38</v>
      </c>
      <c r="D47" s="515"/>
      <c r="E47" s="513" t="s">
        <v>39</v>
      </c>
      <c r="F47" s="513"/>
      <c r="G47" s="513"/>
      <c r="H47" s="515" t="s">
        <v>206</v>
      </c>
      <c r="I47" s="515"/>
      <c r="J47" s="515"/>
    </row>
    <row r="48" spans="1:10" ht="66.05" customHeight="1" x14ac:dyDescent="0.4">
      <c r="A48" s="29"/>
      <c r="B48" s="78" t="s">
        <v>307</v>
      </c>
      <c r="C48" s="497" t="s">
        <v>1112</v>
      </c>
      <c r="D48" s="497"/>
      <c r="E48" s="497" t="s">
        <v>1112</v>
      </c>
      <c r="F48" s="497"/>
      <c r="G48" s="497"/>
      <c r="H48" s="516" t="s">
        <v>41</v>
      </c>
      <c r="I48" s="516"/>
      <c r="J48" s="516"/>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ht="28.5" customHeight="1" x14ac:dyDescent="0.4">
      <c r="A51" s="29"/>
      <c r="B51" s="452" t="s">
        <v>43</v>
      </c>
      <c r="C51" s="385" t="s">
        <v>1112</v>
      </c>
      <c r="D51" s="386"/>
      <c r="E51" s="387"/>
      <c r="K51" s="1"/>
    </row>
    <row r="52" spans="1:14" x14ac:dyDescent="0.4">
      <c r="A52" s="29"/>
      <c r="B52" s="552"/>
      <c r="C52" s="388"/>
      <c r="D52" s="389"/>
      <c r="E52" s="390"/>
      <c r="K52" s="1"/>
    </row>
    <row r="53" spans="1:14" ht="54" customHeight="1" x14ac:dyDescent="0.4">
      <c r="A53" s="24"/>
      <c r="B53" s="33" t="s">
        <v>44</v>
      </c>
      <c r="C53" s="391" t="s">
        <v>1112</v>
      </c>
      <c r="D53" s="391"/>
      <c r="E53" s="391"/>
    </row>
    <row r="54" spans="1:14" x14ac:dyDescent="0.4">
      <c r="A54" s="29"/>
      <c r="B54" s="33" t="s">
        <v>45</v>
      </c>
      <c r="C54" s="471" t="s">
        <v>41</v>
      </c>
      <c r="D54" s="472"/>
      <c r="E54" s="473"/>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1053</v>
      </c>
      <c r="D57" s="393"/>
      <c r="E57" s="393"/>
      <c r="F57" s="11"/>
      <c r="G57" s="282"/>
      <c r="H57" s="43"/>
      <c r="I57" s="11"/>
      <c r="J57" s="11"/>
    </row>
    <row r="58" spans="1:14" x14ac:dyDescent="0.4">
      <c r="A58" s="9"/>
      <c r="B58" s="15"/>
      <c r="C58" s="15"/>
      <c r="D58" s="15"/>
      <c r="E58" s="15"/>
      <c r="F58" s="15"/>
      <c r="G58" s="118"/>
      <c r="H58" s="44"/>
      <c r="I58" s="44"/>
      <c r="J58" s="15"/>
    </row>
    <row r="59" spans="1:14" x14ac:dyDescent="0.4">
      <c r="A59" s="9">
        <v>12</v>
      </c>
      <c r="B59" s="11" t="s">
        <v>51</v>
      </c>
      <c r="C59" s="11"/>
      <c r="D59" s="11"/>
      <c r="E59" s="43"/>
      <c r="F59" s="43"/>
      <c r="G59" s="282"/>
      <c r="H59" s="11"/>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446" t="s">
        <v>1074</v>
      </c>
      <c r="D61" s="446"/>
      <c r="E61" s="446"/>
      <c r="F61" s="44"/>
      <c r="G61" s="44"/>
      <c r="H61" s="15"/>
      <c r="I61" s="15"/>
      <c r="J61" s="15"/>
      <c r="K61" s="15"/>
      <c r="L61" s="15"/>
      <c r="M61" s="15"/>
      <c r="N61" s="15"/>
    </row>
    <row r="62" spans="1:14" x14ac:dyDescent="0.4">
      <c r="A62" s="9"/>
      <c r="B62" s="15"/>
      <c r="C62" s="15"/>
      <c r="D62" s="118"/>
      <c r="E62" s="118"/>
      <c r="F62" s="15"/>
      <c r="G62" s="15"/>
      <c r="H62" s="15"/>
      <c r="I62" s="15"/>
      <c r="J62" s="15"/>
      <c r="K62" s="15"/>
      <c r="L62" s="15"/>
      <c r="M62" s="15"/>
      <c r="N62" s="15"/>
    </row>
    <row r="63" spans="1:14" x14ac:dyDescent="0.4">
      <c r="A63" s="9"/>
      <c r="B63" s="365" t="s">
        <v>53</v>
      </c>
      <c r="C63" s="366" t="s">
        <v>1075</v>
      </c>
      <c r="D63" s="366" t="s">
        <v>1241</v>
      </c>
      <c r="E63" s="403" t="s">
        <v>1242</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61</v>
      </c>
      <c r="C65" s="284">
        <v>115.4</v>
      </c>
      <c r="D65" s="101">
        <v>191.85</v>
      </c>
      <c r="E65" s="101">
        <v>240</v>
      </c>
      <c r="F65" s="101">
        <v>205</v>
      </c>
      <c r="G65" s="101">
        <v>298.89999999999998</v>
      </c>
      <c r="H65" s="101">
        <v>109.95</v>
      </c>
      <c r="I65" s="45" t="s">
        <v>41</v>
      </c>
      <c r="J65" s="45" t="s">
        <v>41</v>
      </c>
      <c r="K65" s="45" t="s">
        <v>41</v>
      </c>
      <c r="L65" s="45" t="s">
        <v>41</v>
      </c>
      <c r="M65" s="45" t="s">
        <v>41</v>
      </c>
      <c r="N65" s="45" t="s">
        <v>41</v>
      </c>
    </row>
    <row r="66" spans="1:14" ht="25.65" x14ac:dyDescent="0.4">
      <c r="A66" s="2"/>
      <c r="B66" s="17" t="s">
        <v>216</v>
      </c>
      <c r="C66" s="284">
        <v>57991.11</v>
      </c>
      <c r="D66" s="284">
        <v>61033.55</v>
      </c>
      <c r="E66" s="101">
        <v>60747.31</v>
      </c>
      <c r="F66" s="101">
        <v>58991.519999999997</v>
      </c>
      <c r="G66" s="101">
        <v>63583.07</v>
      </c>
      <c r="H66" s="101">
        <v>57050.400000000001</v>
      </c>
      <c r="I66" s="45" t="s">
        <v>41</v>
      </c>
      <c r="J66" s="45" t="s">
        <v>41</v>
      </c>
      <c r="K66" s="45" t="s">
        <v>41</v>
      </c>
      <c r="L66" s="45" t="s">
        <v>41</v>
      </c>
      <c r="M66" s="45" t="s">
        <v>41</v>
      </c>
      <c r="N66" s="45" t="s">
        <v>41</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399" t="s">
        <v>1099</v>
      </c>
      <c r="C68" s="399"/>
      <c r="D68" s="399"/>
      <c r="E68" s="399"/>
      <c r="F68" s="399"/>
      <c r="G68" s="399"/>
      <c r="H68" s="399"/>
      <c r="I68" s="399"/>
      <c r="J68" s="399"/>
      <c r="K68" s="399"/>
      <c r="L68" s="399"/>
      <c r="M68" s="399"/>
      <c r="N68" s="399"/>
    </row>
    <row r="69" spans="1:14" x14ac:dyDescent="0.4">
      <c r="A69" s="2"/>
      <c r="B69" s="545" t="s">
        <v>17</v>
      </c>
      <c r="C69" s="545"/>
      <c r="D69" s="545"/>
      <c r="E69" s="545"/>
      <c r="F69" s="545"/>
      <c r="G69" s="545"/>
      <c r="H69" s="545"/>
      <c r="I69" s="545"/>
      <c r="J69" s="545"/>
      <c r="K69" s="545"/>
      <c r="L69" s="545"/>
      <c r="M69" s="545"/>
      <c r="N69" s="545"/>
    </row>
    <row r="70" spans="1:14" x14ac:dyDescent="0.4">
      <c r="A70" s="2"/>
      <c r="B70" s="480" t="s">
        <v>63</v>
      </c>
      <c r="C70" s="480"/>
      <c r="D70" s="480"/>
      <c r="E70" s="480"/>
      <c r="F70" s="480"/>
      <c r="G70" s="480"/>
      <c r="H70" s="480"/>
      <c r="I70" s="480"/>
      <c r="J70" s="480"/>
      <c r="K70" s="480"/>
      <c r="L70" s="480"/>
      <c r="M70" s="480"/>
      <c r="N70" s="480"/>
    </row>
    <row r="71" spans="1:14" s="1" customFormat="1" x14ac:dyDescent="0.4">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49"/>
      <c r="E74" s="49"/>
      <c r="F74" s="49"/>
      <c r="G74" s="13"/>
      <c r="H74" s="13"/>
      <c r="I74" s="13"/>
      <c r="J74" s="13"/>
      <c r="K74" s="13"/>
      <c r="L74" s="13"/>
      <c r="M74" s="13"/>
      <c r="N74" s="13"/>
    </row>
    <row r="75" spans="1:14" x14ac:dyDescent="0.4">
      <c r="A75" s="9">
        <v>13</v>
      </c>
      <c r="B75" s="405" t="s">
        <v>66</v>
      </c>
      <c r="C75" s="406"/>
      <c r="D75" s="406"/>
      <c r="E75" s="406"/>
      <c r="F75" s="406"/>
      <c r="G75" s="376"/>
      <c r="H75" s="11"/>
      <c r="I75" s="11"/>
      <c r="J75" s="11"/>
      <c r="K75" s="11"/>
      <c r="L75" s="11"/>
      <c r="M75" s="11"/>
      <c r="N75" s="11"/>
    </row>
    <row r="76" spans="1:14" x14ac:dyDescent="0.4">
      <c r="A76" s="9"/>
      <c r="C76" s="15"/>
      <c r="D76" s="15"/>
      <c r="E76" s="15"/>
      <c r="F76" s="15"/>
      <c r="G76" s="15"/>
      <c r="H76" s="15"/>
      <c r="I76" s="15"/>
      <c r="J76" s="15"/>
      <c r="K76" s="15"/>
      <c r="L76" s="15"/>
      <c r="M76" s="15"/>
      <c r="N76" s="15"/>
    </row>
    <row r="77" spans="1:14" ht="25.65" x14ac:dyDescent="0.4">
      <c r="A77" s="2"/>
      <c r="B77" s="50" t="s">
        <v>67</v>
      </c>
      <c r="C77" s="18" t="s">
        <v>68</v>
      </c>
      <c r="D77" s="18" t="s">
        <v>1127</v>
      </c>
      <c r="E77" s="18" t="s">
        <v>218</v>
      </c>
      <c r="F77" s="18" t="s">
        <v>71</v>
      </c>
      <c r="G77" s="18" t="s">
        <v>107</v>
      </c>
      <c r="H77" s="13"/>
      <c r="I77" s="13"/>
      <c r="J77" s="13"/>
      <c r="K77" s="13"/>
      <c r="L77" s="13"/>
      <c r="M77" s="13"/>
      <c r="N77" s="13"/>
    </row>
    <row r="78" spans="1:14" ht="12.7" customHeight="1" x14ac:dyDescent="0.35">
      <c r="A78" s="2"/>
      <c r="B78" s="394" t="s">
        <v>72</v>
      </c>
      <c r="C78" s="3" t="s">
        <v>1076</v>
      </c>
      <c r="D78" s="65">
        <v>6.17</v>
      </c>
      <c r="E78" s="301">
        <v>10.73</v>
      </c>
      <c r="F78" s="435" t="s">
        <v>1071</v>
      </c>
      <c r="G78" s="435" t="s">
        <v>1072</v>
      </c>
      <c r="H78" s="53"/>
      <c r="I78" s="53"/>
      <c r="J78" s="53"/>
      <c r="K78" s="53"/>
      <c r="L78" s="53"/>
      <c r="M78" s="53"/>
      <c r="N78" s="53"/>
    </row>
    <row r="79" spans="1:14" x14ac:dyDescent="0.4">
      <c r="A79" s="2"/>
      <c r="B79" s="394"/>
      <c r="C79" s="3" t="s">
        <v>765</v>
      </c>
      <c r="D79" s="54" t="s">
        <v>1077</v>
      </c>
      <c r="E79" s="54" t="s">
        <v>1077</v>
      </c>
      <c r="F79" s="436"/>
      <c r="G79" s="436"/>
      <c r="H79" s="53"/>
      <c r="I79" s="53"/>
      <c r="J79" s="53"/>
      <c r="K79" s="53"/>
      <c r="L79" s="53"/>
      <c r="M79" s="53"/>
      <c r="N79" s="53"/>
    </row>
    <row r="80" spans="1:14" x14ac:dyDescent="0.4">
      <c r="A80" s="2"/>
      <c r="B80" s="394"/>
      <c r="C80" s="3" t="s">
        <v>74</v>
      </c>
      <c r="D80" s="127">
        <v>0</v>
      </c>
      <c r="E80" s="127">
        <v>0</v>
      </c>
      <c r="F80" s="436"/>
      <c r="G80" s="436"/>
      <c r="H80" s="53"/>
      <c r="I80" s="53"/>
      <c r="J80" s="53"/>
      <c r="K80" s="53"/>
      <c r="L80" s="53"/>
      <c r="M80" s="53"/>
      <c r="N80" s="53"/>
    </row>
    <row r="81" spans="1:14" x14ac:dyDescent="0.35">
      <c r="A81" s="2"/>
      <c r="B81" s="394" t="s">
        <v>75</v>
      </c>
      <c r="C81" s="3" t="s">
        <v>1076</v>
      </c>
      <c r="D81" s="77">
        <v>11.88</v>
      </c>
      <c r="E81" s="302">
        <f>F65/E78</f>
        <v>19.105312208760484</v>
      </c>
      <c r="F81" s="436"/>
      <c r="G81" s="436"/>
      <c r="H81" s="53"/>
      <c r="I81" s="53"/>
      <c r="J81" s="53"/>
      <c r="K81" s="53"/>
      <c r="L81" s="53"/>
      <c r="M81" s="53"/>
      <c r="N81" s="53"/>
    </row>
    <row r="82" spans="1:14" x14ac:dyDescent="0.4">
      <c r="A82" s="2"/>
      <c r="B82" s="394"/>
      <c r="C82" s="3" t="s">
        <v>73</v>
      </c>
      <c r="D82" s="54" t="s">
        <v>1077</v>
      </c>
      <c r="E82" s="54" t="s">
        <v>1077</v>
      </c>
      <c r="F82" s="436"/>
      <c r="G82" s="436"/>
      <c r="H82" s="53"/>
      <c r="I82" s="53"/>
      <c r="J82" s="53"/>
      <c r="K82" s="53"/>
      <c r="L82" s="53"/>
      <c r="M82" s="53"/>
      <c r="N82" s="53"/>
    </row>
    <row r="83" spans="1:14" x14ac:dyDescent="0.4">
      <c r="A83" s="2"/>
      <c r="B83" s="394"/>
      <c r="C83" s="3" t="s">
        <v>74</v>
      </c>
      <c r="D83" s="127">
        <v>0</v>
      </c>
      <c r="E83" s="127">
        <v>0</v>
      </c>
      <c r="F83" s="436"/>
      <c r="G83" s="436"/>
      <c r="H83" s="53"/>
      <c r="I83" s="53"/>
      <c r="J83" s="53"/>
      <c r="K83" s="53"/>
      <c r="L83" s="53"/>
      <c r="M83" s="53"/>
      <c r="N83" s="53"/>
    </row>
    <row r="84" spans="1:14" ht="14.6" x14ac:dyDescent="0.4">
      <c r="A84" s="2"/>
      <c r="B84" s="394" t="s">
        <v>76</v>
      </c>
      <c r="C84" s="3" t="s">
        <v>1076</v>
      </c>
      <c r="D84" s="97">
        <v>0.31780000000000003</v>
      </c>
      <c r="E84" s="55">
        <f>207.55/2123.65</f>
        <v>9.7732677230240386E-2</v>
      </c>
      <c r="F84" s="436"/>
      <c r="G84" s="436"/>
      <c r="H84" s="53"/>
      <c r="I84"/>
      <c r="J84"/>
      <c r="K84" s="1"/>
      <c r="L84"/>
      <c r="M84"/>
      <c r="N84"/>
    </row>
    <row r="85" spans="1:14" x14ac:dyDescent="0.4">
      <c r="A85" s="2"/>
      <c r="B85" s="394"/>
      <c r="C85" s="3" t="s">
        <v>73</v>
      </c>
      <c r="D85" s="54" t="s">
        <v>1077</v>
      </c>
      <c r="E85" s="54" t="s">
        <v>1077</v>
      </c>
      <c r="F85" s="436"/>
      <c r="G85" s="436"/>
      <c r="H85" s="53"/>
      <c r="I85" s="53"/>
      <c r="J85" s="53"/>
      <c r="K85" s="53"/>
      <c r="L85" s="53"/>
      <c r="M85" s="53"/>
      <c r="N85" s="53"/>
    </row>
    <row r="86" spans="1:14" x14ac:dyDescent="0.4">
      <c r="A86" s="2"/>
      <c r="B86" s="394"/>
      <c r="C86" s="3" t="s">
        <v>74</v>
      </c>
      <c r="D86" s="196">
        <v>3.5000000000000001E-3</v>
      </c>
      <c r="E86" s="127">
        <v>0</v>
      </c>
      <c r="F86" s="436"/>
      <c r="G86" s="436"/>
      <c r="H86" s="53"/>
      <c r="I86" s="53"/>
      <c r="J86" s="53"/>
      <c r="K86" s="53"/>
      <c r="L86" s="53"/>
      <c r="M86" s="53"/>
      <c r="N86" s="53"/>
    </row>
    <row r="87" spans="1:14" x14ac:dyDescent="0.35">
      <c r="A87" s="2"/>
      <c r="B87" s="394" t="s">
        <v>77</v>
      </c>
      <c r="C87" s="3" t="s">
        <v>1076</v>
      </c>
      <c r="D87" s="65">
        <v>17.95</v>
      </c>
      <c r="E87" s="55">
        <f>2123.65/57.12</f>
        <v>37.178746498599445</v>
      </c>
      <c r="F87" s="436"/>
      <c r="G87" s="436"/>
      <c r="H87" s="53"/>
      <c r="I87" s="53"/>
      <c r="J87" s="53"/>
      <c r="K87" s="53"/>
      <c r="L87" s="53"/>
      <c r="M87" s="53"/>
      <c r="N87" s="53"/>
    </row>
    <row r="88" spans="1:14" x14ac:dyDescent="0.4">
      <c r="A88" s="2"/>
      <c r="B88" s="394"/>
      <c r="C88" s="3" t="s">
        <v>73</v>
      </c>
      <c r="D88" s="54" t="s">
        <v>1077</v>
      </c>
      <c r="E88" s="54" t="s">
        <v>1077</v>
      </c>
      <c r="F88" s="436"/>
      <c r="G88" s="436"/>
      <c r="H88" s="53"/>
      <c r="I88" s="53"/>
      <c r="J88" s="53"/>
      <c r="L88" s="53"/>
      <c r="M88" s="53"/>
      <c r="N88" s="53"/>
    </row>
    <row r="89" spans="1:14" x14ac:dyDescent="0.4">
      <c r="A89" s="2"/>
      <c r="B89" s="411"/>
      <c r="C89" s="3" t="s">
        <v>74</v>
      </c>
      <c r="D89" s="127">
        <v>0</v>
      </c>
      <c r="E89" s="127">
        <v>0</v>
      </c>
      <c r="F89" s="436"/>
      <c r="G89" s="436"/>
      <c r="H89" s="53"/>
      <c r="I89" s="53"/>
      <c r="J89" s="53"/>
      <c r="L89" s="53"/>
      <c r="M89" s="53"/>
      <c r="N89" s="53"/>
    </row>
    <row r="90" spans="1:14" s="1" customFormat="1" x14ac:dyDescent="0.4">
      <c r="B90" s="412"/>
      <c r="C90" s="413"/>
      <c r="D90" s="413"/>
      <c r="E90" s="413"/>
      <c r="F90" s="413"/>
      <c r="G90" s="414"/>
      <c r="K90" s="8"/>
    </row>
    <row r="91" spans="1:14" x14ac:dyDescent="0.4">
      <c r="A91" s="2"/>
      <c r="B91" s="415" t="s">
        <v>1106</v>
      </c>
      <c r="C91" s="416"/>
      <c r="D91" s="416"/>
      <c r="E91" s="416"/>
      <c r="F91" s="416"/>
      <c r="G91" s="417"/>
      <c r="H91" s="53"/>
      <c r="I91" s="53"/>
      <c r="J91" s="53"/>
      <c r="L91" s="53"/>
      <c r="M91" s="53"/>
      <c r="N91" s="53"/>
    </row>
    <row r="92" spans="1:14" x14ac:dyDescent="0.4">
      <c r="A92" s="2"/>
      <c r="B92" s="418" t="s">
        <v>989</v>
      </c>
      <c r="C92" s="419"/>
      <c r="D92" s="419"/>
      <c r="E92" s="419"/>
      <c r="F92" s="419"/>
      <c r="G92" s="420"/>
      <c r="H92" s="53"/>
      <c r="I92" s="53"/>
      <c r="J92" s="53"/>
      <c r="L92" s="53"/>
      <c r="M92" s="53"/>
      <c r="N92" s="53"/>
    </row>
    <row r="93" spans="1:14" x14ac:dyDescent="0.4">
      <c r="A93" s="2"/>
      <c r="B93" s="363"/>
      <c r="C93" s="368"/>
      <c r="D93" s="368"/>
      <c r="E93" s="368"/>
      <c r="F93" s="368"/>
      <c r="G93" s="369"/>
      <c r="H93" s="53"/>
      <c r="I93" s="53"/>
      <c r="J93" s="53"/>
      <c r="L93" s="53"/>
      <c r="M93" s="53"/>
      <c r="N93" s="53"/>
    </row>
    <row r="94" spans="1:14" x14ac:dyDescent="0.4">
      <c r="C94" s="407"/>
      <c r="D94" s="407"/>
      <c r="E94" s="407"/>
      <c r="F94" s="407"/>
      <c r="G94" s="407"/>
      <c r="H94" s="53"/>
      <c r="I94" s="53"/>
    </row>
    <row r="95" spans="1:14" x14ac:dyDescent="0.4">
      <c r="A95" s="9">
        <v>14</v>
      </c>
      <c r="B95" s="61" t="s">
        <v>78</v>
      </c>
      <c r="C95" s="614" t="s">
        <v>41</v>
      </c>
      <c r="D95" s="615"/>
      <c r="E95" s="615"/>
      <c r="F95" s="615"/>
      <c r="G95" s="616"/>
    </row>
    <row r="96" spans="1:14" x14ac:dyDescent="0.4">
      <c r="C96" s="69"/>
      <c r="D96" s="69"/>
      <c r="E96" s="69"/>
      <c r="F96" s="69"/>
      <c r="G96" s="69"/>
    </row>
    <row r="98" spans="2:8" ht="12.7" customHeight="1" x14ac:dyDescent="0.4">
      <c r="B98" s="548" t="s">
        <v>1004</v>
      </c>
      <c r="C98" s="549"/>
      <c r="D98" s="549"/>
      <c r="E98" s="549"/>
      <c r="F98" s="549"/>
      <c r="G98" s="549"/>
      <c r="H98" s="297"/>
    </row>
    <row r="100" spans="2:8" ht="25.55" customHeight="1" x14ac:dyDescent="0.4">
      <c r="B100" s="624"/>
      <c r="C100" s="624"/>
      <c r="D100" s="624"/>
      <c r="E100" s="624"/>
      <c r="F100" s="624"/>
      <c r="G100" s="624"/>
    </row>
    <row r="103" spans="2:8" x14ac:dyDescent="0.4">
      <c r="D103" s="107"/>
      <c r="E103" s="107"/>
    </row>
    <row r="104" spans="2:8" x14ac:dyDescent="0.4">
      <c r="E104" s="107"/>
    </row>
  </sheetData>
  <sheetProtection algorithmName="SHA-512" hashValue="fR90Hdv6PzMC7TvcE0eA2SDILt6oXhiqzi55hhJspcl1k9QdAByqfOKFqlU2oAPvdY+BAs+oYQu2H/S1MrdDiw==" saltValue="XfjWEnAb3BJUe4VHTTn9DQ==" spinCount="100000" sheet="1" objects="1" scenarios="1"/>
  <mergeCells count="74">
    <mergeCell ref="H47:J47"/>
    <mergeCell ref="H48:J48"/>
    <mergeCell ref="B12:E12"/>
    <mergeCell ref="C14:E14"/>
    <mergeCell ref="C11:E11"/>
    <mergeCell ref="A1:B1"/>
    <mergeCell ref="C3:E3"/>
    <mergeCell ref="C5:E5"/>
    <mergeCell ref="B6:E6"/>
    <mergeCell ref="C8:E8"/>
    <mergeCell ref="B9:E9"/>
    <mergeCell ref="D28:D31"/>
    <mergeCell ref="E28:E31"/>
    <mergeCell ref="B17:E17"/>
    <mergeCell ref="C18:E18"/>
    <mergeCell ref="C19:E19"/>
    <mergeCell ref="C20:E20"/>
    <mergeCell ref="C21:E21"/>
    <mergeCell ref="C22:E22"/>
    <mergeCell ref="B25:E25"/>
    <mergeCell ref="B26:E26"/>
    <mergeCell ref="B51:B52"/>
    <mergeCell ref="C51:E52"/>
    <mergeCell ref="B32:E32"/>
    <mergeCell ref="B34:E34"/>
    <mergeCell ref="B40:E40"/>
    <mergeCell ref="C41:E41"/>
    <mergeCell ref="C42:E42"/>
    <mergeCell ref="C43:E43"/>
    <mergeCell ref="B44:E44"/>
    <mergeCell ref="B46:E46"/>
    <mergeCell ref="B50:E50"/>
    <mergeCell ref="C47:D47"/>
    <mergeCell ref="C48:D48"/>
    <mergeCell ref="E47:G47"/>
    <mergeCell ref="E48:G48"/>
    <mergeCell ref="B69:N69"/>
    <mergeCell ref="C53:E53"/>
    <mergeCell ref="C54:E54"/>
    <mergeCell ref="B55:E55"/>
    <mergeCell ref="C57:E57"/>
    <mergeCell ref="B63:B64"/>
    <mergeCell ref="C63:C64"/>
    <mergeCell ref="D63:D64"/>
    <mergeCell ref="E63:E64"/>
    <mergeCell ref="F63:H63"/>
    <mergeCell ref="I63:K63"/>
    <mergeCell ref="L63:N63"/>
    <mergeCell ref="C67:N67"/>
    <mergeCell ref="B68:N68"/>
    <mergeCell ref="B71:N71"/>
    <mergeCell ref="B72:N72"/>
    <mergeCell ref="B73:N73"/>
    <mergeCell ref="B75:G75"/>
    <mergeCell ref="B78:B80"/>
    <mergeCell ref="F78:F89"/>
    <mergeCell ref="G78:G89"/>
    <mergeCell ref="B81:B83"/>
    <mergeCell ref="B100:G100"/>
    <mergeCell ref="B98:G98"/>
    <mergeCell ref="C61:E61"/>
    <mergeCell ref="B15:E15"/>
    <mergeCell ref="C35:E35"/>
    <mergeCell ref="C36:E36"/>
    <mergeCell ref="C37:E37"/>
    <mergeCell ref="C94:G94"/>
    <mergeCell ref="C95:G95"/>
    <mergeCell ref="B84:B86"/>
    <mergeCell ref="B87:B89"/>
    <mergeCell ref="B90:G90"/>
    <mergeCell ref="B91:G91"/>
    <mergeCell ref="B92:G92"/>
    <mergeCell ref="B93:G93"/>
    <mergeCell ref="B70:N70"/>
  </mergeCells>
  <pageMargins left="0" right="0" top="0.42499999999999999" bottom="0.75" header="0.10625" footer="0.3"/>
  <pageSetup paperSize="5" scale="61" orientation="landscape" verticalDpi="300" r:id="rId1"/>
  <rowBreaks count="2" manualBreakCount="2">
    <brk id="45" max="16383" man="1"/>
    <brk id="9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N106"/>
  <sheetViews>
    <sheetView view="pageBreakPreview" topLeftCell="A43" zoomScale="60" zoomScaleNormal="87" zoomScalePageLayoutView="50" workbookViewId="0">
      <selection activeCell="C5" sqref="C5:G5"/>
    </sheetView>
  </sheetViews>
  <sheetFormatPr defaultColWidth="8.84375" defaultRowHeight="13.25" x14ac:dyDescent="0.4"/>
  <cols>
    <col min="1" max="1" width="8.84375" style="8"/>
    <col min="2" max="2" width="40.84375" style="8" customWidth="1"/>
    <col min="3" max="3" width="34.4609375" style="8" customWidth="1"/>
    <col min="4" max="4" width="19.3046875" style="8" customWidth="1"/>
    <col min="5" max="5" width="22.3046875" style="8" customWidth="1"/>
    <col min="6" max="6" width="11.3046875" style="8" customWidth="1"/>
    <col min="7" max="7" width="12.69140625" style="8" customWidth="1"/>
    <col min="8" max="8" width="11.4609375" style="8" bestFit="1" customWidth="1"/>
    <col min="9" max="16384" width="8.84375" style="8"/>
  </cols>
  <sheetData>
    <row r="1" spans="1:5" x14ac:dyDescent="0.4">
      <c r="A1" s="355" t="s">
        <v>0</v>
      </c>
      <c r="B1" s="355"/>
      <c r="D1" s="1"/>
    </row>
    <row r="3" spans="1:5" x14ac:dyDescent="0.4">
      <c r="A3" s="2" t="s">
        <v>1</v>
      </c>
      <c r="B3" s="3" t="s">
        <v>2</v>
      </c>
      <c r="C3" s="497" t="s">
        <v>1145</v>
      </c>
      <c r="D3" s="497"/>
      <c r="E3" s="497"/>
    </row>
    <row r="4" spans="1:5" x14ac:dyDescent="0.4">
      <c r="C4" s="23"/>
      <c r="D4" s="5"/>
      <c r="E4" s="23"/>
    </row>
    <row r="5" spans="1:5" ht="12.7" customHeight="1" x14ac:dyDescent="0.4">
      <c r="A5" s="36">
        <v>1</v>
      </c>
      <c r="B5" s="3" t="s">
        <v>3</v>
      </c>
      <c r="C5" s="497" t="s">
        <v>1019</v>
      </c>
      <c r="D5" s="497"/>
      <c r="E5" s="497"/>
    </row>
    <row r="6" spans="1:5" x14ac:dyDescent="0.4">
      <c r="A6" s="9"/>
      <c r="B6" s="480" t="s">
        <v>5</v>
      </c>
      <c r="C6" s="480"/>
      <c r="D6" s="480"/>
      <c r="E6" s="480"/>
    </row>
    <row r="7" spans="1:5" x14ac:dyDescent="0.4">
      <c r="A7" s="9"/>
      <c r="B7" s="11"/>
      <c r="D7" s="5"/>
    </row>
    <row r="8" spans="1:5" x14ac:dyDescent="0.4">
      <c r="A8" s="9">
        <v>2</v>
      </c>
      <c r="B8" s="3" t="s">
        <v>6</v>
      </c>
      <c r="C8" s="497" t="s">
        <v>1146</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46" t="s">
        <v>1175</v>
      </c>
      <c r="D14" s="446"/>
      <c r="E14" s="446"/>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25.65" x14ac:dyDescent="0.4">
      <c r="A19" s="9"/>
      <c r="B19" s="14" t="s">
        <v>1078</v>
      </c>
      <c r="C19" s="367" t="s">
        <v>560</v>
      </c>
      <c r="D19" s="367"/>
      <c r="E19" s="367"/>
      <c r="F19" s="15"/>
      <c r="G19" s="13"/>
      <c r="I19" s="13"/>
      <c r="J19" s="13"/>
      <c r="K19" s="13"/>
      <c r="L19" s="13"/>
      <c r="M19" s="13"/>
      <c r="N19" s="13"/>
    </row>
    <row r="20" spans="1:14" x14ac:dyDescent="0.4">
      <c r="A20" s="9"/>
      <c r="B20" s="14" t="s">
        <v>605</v>
      </c>
      <c r="C20" s="367" t="s">
        <v>560</v>
      </c>
      <c r="D20" s="367"/>
      <c r="E20" s="367"/>
      <c r="F20" s="15"/>
      <c r="G20" s="13"/>
      <c r="H20" s="13"/>
      <c r="I20" s="13"/>
      <c r="J20" s="13"/>
      <c r="K20" s="13"/>
      <c r="L20" s="13"/>
      <c r="M20" s="13"/>
      <c r="N20" s="13"/>
    </row>
    <row r="21" spans="1:14" x14ac:dyDescent="0.4">
      <c r="A21" s="9"/>
      <c r="B21" s="16" t="s">
        <v>15</v>
      </c>
      <c r="C21" s="447" t="s">
        <v>1071</v>
      </c>
      <c r="D21" s="447"/>
      <c r="E21" s="447"/>
      <c r="F21" s="15"/>
      <c r="G21" s="13"/>
      <c r="H21" s="13"/>
      <c r="I21" s="13"/>
      <c r="J21" s="13"/>
      <c r="K21" s="13"/>
      <c r="L21" s="13"/>
      <c r="M21" s="13"/>
      <c r="N21" s="13"/>
    </row>
    <row r="22" spans="1:14" x14ac:dyDescent="0.4">
      <c r="A22" s="9"/>
      <c r="B22" s="17" t="s">
        <v>16</v>
      </c>
      <c r="C22" s="446" t="s">
        <v>1072</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202</v>
      </c>
      <c r="D27" s="18" t="s">
        <v>22</v>
      </c>
      <c r="E27" s="18" t="s">
        <v>23</v>
      </c>
      <c r="F27" s="15"/>
    </row>
    <row r="28" spans="1:14" x14ac:dyDescent="0.4">
      <c r="A28" s="9"/>
      <c r="B28" s="19" t="s">
        <v>1272</v>
      </c>
      <c r="C28" s="21">
        <v>35996.29</v>
      </c>
      <c r="D28" s="540" t="s">
        <v>1071</v>
      </c>
      <c r="E28" s="540" t="s">
        <v>1072</v>
      </c>
      <c r="F28" s="15"/>
    </row>
    <row r="29" spans="1:14" x14ac:dyDescent="0.4">
      <c r="A29" s="9"/>
      <c r="B29" s="19" t="s">
        <v>25</v>
      </c>
      <c r="C29" s="120">
        <v>528.4</v>
      </c>
      <c r="D29" s="541"/>
      <c r="E29" s="541"/>
      <c r="F29" s="15"/>
    </row>
    <row r="30" spans="1:14" x14ac:dyDescent="0.4">
      <c r="A30" s="9"/>
      <c r="B30" s="19" t="s">
        <v>26</v>
      </c>
      <c r="C30" s="21">
        <v>732.51</v>
      </c>
      <c r="D30" s="541"/>
      <c r="E30" s="541"/>
      <c r="F30" s="15"/>
    </row>
    <row r="31" spans="1:14" x14ac:dyDescent="0.4">
      <c r="A31" s="9"/>
      <c r="B31" s="19" t="s">
        <v>27</v>
      </c>
      <c r="C31" s="120">
        <v>2692.6</v>
      </c>
      <c r="D31" s="542"/>
      <c r="E31" s="542"/>
      <c r="F31" s="15"/>
    </row>
    <row r="32" spans="1:14" x14ac:dyDescent="0.4">
      <c r="A32" s="9"/>
      <c r="B32" s="363" t="s">
        <v>1151</v>
      </c>
      <c r="C32" s="368"/>
      <c r="D32" s="368"/>
      <c r="E32" s="369"/>
      <c r="F32" s="15"/>
    </row>
    <row r="33" spans="1:11" x14ac:dyDescent="0.4">
      <c r="A33" s="9"/>
      <c r="B33" s="13"/>
      <c r="C33" s="15"/>
      <c r="D33" s="15"/>
      <c r="E33" s="15"/>
      <c r="F33" s="15"/>
    </row>
    <row r="34" spans="1:11" ht="30.7" customHeight="1" x14ac:dyDescent="0.4">
      <c r="A34" s="9">
        <v>7</v>
      </c>
      <c r="B34" s="365" t="s">
        <v>28</v>
      </c>
      <c r="C34" s="365"/>
      <c r="D34" s="365"/>
      <c r="E34" s="365"/>
      <c r="F34" s="11"/>
      <c r="G34" s="11"/>
      <c r="H34" s="11"/>
      <c r="I34" s="11"/>
      <c r="J34" s="11"/>
    </row>
    <row r="35" spans="1:11" x14ac:dyDescent="0.4">
      <c r="A35" s="9"/>
      <c r="B35" s="17" t="s">
        <v>29</v>
      </c>
      <c r="C35" s="446" t="s">
        <v>30</v>
      </c>
      <c r="D35" s="446"/>
      <c r="E35" s="446"/>
      <c r="F35" s="13"/>
    </row>
    <row r="36" spans="1:11" x14ac:dyDescent="0.4">
      <c r="A36" s="9"/>
      <c r="B36" s="17" t="s">
        <v>31</v>
      </c>
      <c r="C36" s="446" t="s">
        <v>1071</v>
      </c>
      <c r="D36" s="446"/>
      <c r="E36" s="446"/>
      <c r="F36" s="13"/>
    </row>
    <row r="37" spans="1:11" x14ac:dyDescent="0.4">
      <c r="A37" s="9"/>
      <c r="B37" s="17" t="s">
        <v>32</v>
      </c>
      <c r="C37" s="446" t="s">
        <v>1072</v>
      </c>
      <c r="D37" s="446"/>
      <c r="E37" s="446"/>
      <c r="F37" s="13"/>
    </row>
    <row r="38" spans="1:11" x14ac:dyDescent="0.4">
      <c r="A38" s="9"/>
      <c r="C38" s="13"/>
      <c r="D38" s="13"/>
      <c r="E38" s="13"/>
      <c r="F38" s="13"/>
    </row>
    <row r="39" spans="1:11" x14ac:dyDescent="0.4">
      <c r="A39" s="9"/>
      <c r="B39" s="15"/>
      <c r="C39" s="13"/>
      <c r="D39" s="13"/>
      <c r="E39" s="13"/>
      <c r="F39" s="13"/>
    </row>
    <row r="40" spans="1:11" x14ac:dyDescent="0.4">
      <c r="A40" s="9">
        <v>8</v>
      </c>
      <c r="B40" s="365" t="s">
        <v>1084</v>
      </c>
      <c r="C40" s="365"/>
      <c r="D40" s="365"/>
      <c r="E40" s="365"/>
      <c r="F40" s="11"/>
      <c r="G40" s="11"/>
      <c r="H40" s="11"/>
      <c r="I40" s="11"/>
      <c r="J40" s="11"/>
    </row>
    <row r="41" spans="1:11" x14ac:dyDescent="0.4">
      <c r="A41" s="9"/>
      <c r="B41" s="17" t="s">
        <v>34</v>
      </c>
      <c r="C41" s="373" t="s">
        <v>937</v>
      </c>
      <c r="D41" s="374"/>
      <c r="E41" s="375"/>
      <c r="F41" s="13"/>
    </row>
    <row r="42" spans="1:11" ht="15.05" x14ac:dyDescent="0.45">
      <c r="A42" s="9"/>
      <c r="B42" s="17" t="s">
        <v>31</v>
      </c>
      <c r="C42" s="373" t="s">
        <v>1071</v>
      </c>
      <c r="D42" s="374"/>
      <c r="E42" s="375"/>
      <c r="F42" s="182"/>
      <c r="I42" s="182"/>
    </row>
    <row r="43" spans="1:11" x14ac:dyDescent="0.4">
      <c r="A43" s="9"/>
      <c r="B43" s="17" t="s">
        <v>32</v>
      </c>
      <c r="C43" s="373" t="s">
        <v>1072</v>
      </c>
      <c r="D43" s="374"/>
      <c r="E43" s="375"/>
      <c r="F43" s="13"/>
    </row>
    <row r="44" spans="1:11" x14ac:dyDescent="0.4">
      <c r="A44" s="9"/>
      <c r="B44" s="363" t="s">
        <v>1073</v>
      </c>
      <c r="C44" s="368"/>
      <c r="D44" s="368"/>
      <c r="E44" s="369"/>
      <c r="F44" s="13"/>
    </row>
    <row r="45" spans="1:11" x14ac:dyDescent="0.4">
      <c r="A45" s="2"/>
      <c r="D45" s="23"/>
      <c r="E45" s="13"/>
    </row>
    <row r="46" spans="1:11" x14ac:dyDescent="0.4">
      <c r="A46" s="24">
        <v>9</v>
      </c>
      <c r="B46" s="553" t="s">
        <v>1085</v>
      </c>
      <c r="C46" s="366"/>
      <c r="D46" s="366"/>
      <c r="E46" s="366"/>
      <c r="F46" s="25"/>
      <c r="G46" s="11"/>
      <c r="H46" s="11"/>
      <c r="I46" s="11"/>
    </row>
    <row r="47" spans="1:11" ht="39" customHeight="1" x14ac:dyDescent="0.4">
      <c r="A47" s="24"/>
      <c r="B47" s="27" t="s">
        <v>37</v>
      </c>
      <c r="C47" s="515" t="s">
        <v>38</v>
      </c>
      <c r="D47" s="515"/>
      <c r="E47" s="515"/>
      <c r="F47" s="513" t="s">
        <v>39</v>
      </c>
      <c r="G47" s="513"/>
      <c r="H47" s="513"/>
      <c r="I47" s="515" t="s">
        <v>206</v>
      </c>
      <c r="J47" s="515"/>
      <c r="K47" s="515"/>
    </row>
    <row r="48" spans="1:11" ht="66.05" customHeight="1" x14ac:dyDescent="0.4">
      <c r="A48" s="29"/>
      <c r="B48" s="78" t="s">
        <v>1147</v>
      </c>
      <c r="C48" s="497" t="s">
        <v>1148</v>
      </c>
      <c r="D48" s="497"/>
      <c r="E48" s="497"/>
      <c r="F48" s="516" t="s">
        <v>186</v>
      </c>
      <c r="G48" s="516"/>
      <c r="H48" s="516"/>
      <c r="I48" s="516" t="s">
        <v>186</v>
      </c>
      <c r="J48" s="516"/>
      <c r="K48" s="516"/>
    </row>
    <row r="49" spans="1:14" x14ac:dyDescent="0.4">
      <c r="A49" s="31"/>
      <c r="B49" s="380" t="s">
        <v>1149</v>
      </c>
      <c r="C49" s="381"/>
      <c r="D49" s="381"/>
      <c r="E49" s="382"/>
      <c r="F49" s="15"/>
      <c r="G49" s="15"/>
      <c r="H49" s="15"/>
    </row>
    <row r="50" spans="1:14" x14ac:dyDescent="0.4">
      <c r="A50" s="32"/>
      <c r="B50" s="62"/>
      <c r="C50" s="23"/>
      <c r="D50" s="23"/>
      <c r="E50" s="23"/>
      <c r="F50" s="15"/>
      <c r="G50" s="15"/>
      <c r="H50" s="15"/>
      <c r="I50" s="15"/>
    </row>
    <row r="51" spans="1:14" x14ac:dyDescent="0.4">
      <c r="A51" s="24">
        <v>10</v>
      </c>
      <c r="B51" s="376" t="s">
        <v>1085</v>
      </c>
      <c r="C51" s="365"/>
      <c r="D51" s="365"/>
      <c r="E51" s="365"/>
      <c r="F51" s="15"/>
      <c r="G51" s="15"/>
      <c r="H51" s="15"/>
    </row>
    <row r="52" spans="1:14" ht="20.25" customHeight="1" x14ac:dyDescent="0.4">
      <c r="A52" s="29"/>
      <c r="B52" s="452" t="s">
        <v>43</v>
      </c>
      <c r="C52" s="385" t="s">
        <v>1148</v>
      </c>
      <c r="D52" s="386"/>
      <c r="E52" s="387"/>
      <c r="K52" s="1"/>
    </row>
    <row r="53" spans="1:14" ht="48.7" customHeight="1" x14ac:dyDescent="0.4">
      <c r="A53" s="29"/>
      <c r="B53" s="552"/>
      <c r="C53" s="388"/>
      <c r="D53" s="389"/>
      <c r="E53" s="390"/>
      <c r="K53" s="1"/>
    </row>
    <row r="54" spans="1:14" x14ac:dyDescent="0.4">
      <c r="A54" s="24"/>
      <c r="B54" s="33" t="s">
        <v>44</v>
      </c>
      <c r="C54" s="391" t="s">
        <v>186</v>
      </c>
      <c r="D54" s="391"/>
      <c r="E54" s="391"/>
    </row>
    <row r="55" spans="1:14" x14ac:dyDescent="0.4">
      <c r="A55" s="29"/>
      <c r="B55" s="33" t="s">
        <v>45</v>
      </c>
      <c r="C55" s="471" t="s">
        <v>46</v>
      </c>
      <c r="D55" s="472"/>
      <c r="E55" s="473"/>
      <c r="K55" s="34"/>
    </row>
    <row r="56" spans="1:14" x14ac:dyDescent="0.4">
      <c r="A56" s="29"/>
      <c r="B56" s="380" t="s">
        <v>1149</v>
      </c>
      <c r="C56" s="381"/>
      <c r="D56" s="381"/>
      <c r="E56" s="382"/>
      <c r="H56" s="230"/>
      <c r="K56" s="34"/>
    </row>
    <row r="57" spans="1:14" s="63" customFormat="1" x14ac:dyDescent="0.35">
      <c r="A57" s="35" t="s">
        <v>47</v>
      </c>
      <c r="B57" s="392" t="s">
        <v>48</v>
      </c>
      <c r="C57" s="392"/>
      <c r="D57" s="392"/>
      <c r="E57" s="392"/>
      <c r="H57" s="296"/>
    </row>
    <row r="58" spans="1:14" x14ac:dyDescent="0.4">
      <c r="A58" s="40"/>
      <c r="B58" s="41"/>
      <c r="C58" s="42"/>
      <c r="D58" s="42"/>
      <c r="E58" s="42"/>
      <c r="F58" s="42"/>
    </row>
    <row r="59" spans="1:14" x14ac:dyDescent="0.4">
      <c r="A59" s="9">
        <v>11</v>
      </c>
      <c r="B59" s="3" t="s">
        <v>49</v>
      </c>
      <c r="C59" s="393" t="s">
        <v>1053</v>
      </c>
      <c r="D59" s="393"/>
      <c r="E59" s="393"/>
      <c r="F59" s="11"/>
      <c r="G59" s="11"/>
      <c r="H59" s="43"/>
      <c r="I59" s="11"/>
      <c r="J59" s="11"/>
    </row>
    <row r="60" spans="1:14" x14ac:dyDescent="0.4">
      <c r="A60" s="9"/>
      <c r="B60" s="15"/>
      <c r="C60" s="15"/>
      <c r="D60" s="15"/>
      <c r="E60" s="15"/>
      <c r="F60" s="15"/>
      <c r="G60" s="15"/>
      <c r="H60" s="44"/>
      <c r="I60" s="44"/>
      <c r="J60" s="15"/>
    </row>
    <row r="61" spans="1:14" x14ac:dyDescent="0.4">
      <c r="A61" s="9">
        <v>12</v>
      </c>
      <c r="B61" s="11" t="s">
        <v>51</v>
      </c>
      <c r="C61" s="11"/>
      <c r="D61" s="11"/>
      <c r="E61" s="43"/>
      <c r="F61" s="43"/>
      <c r="G61" s="11"/>
      <c r="H61" s="11"/>
      <c r="I61" s="11"/>
      <c r="J61" s="11"/>
      <c r="K61" s="11"/>
      <c r="L61" s="11"/>
      <c r="M61" s="11"/>
      <c r="N61" s="11"/>
    </row>
    <row r="62" spans="1:14" x14ac:dyDescent="0.4">
      <c r="A62" s="9"/>
      <c r="B62" s="11"/>
      <c r="C62" s="11"/>
      <c r="D62" s="11"/>
      <c r="E62" s="43"/>
      <c r="F62" s="43"/>
      <c r="G62" s="43"/>
      <c r="H62" s="11"/>
      <c r="I62" s="11"/>
      <c r="J62" s="11"/>
      <c r="K62" s="11"/>
      <c r="L62" s="11"/>
      <c r="M62" s="11"/>
      <c r="N62" s="11"/>
    </row>
    <row r="63" spans="1:14" x14ac:dyDescent="0.4">
      <c r="A63" s="9"/>
      <c r="B63" s="17" t="s">
        <v>52</v>
      </c>
      <c r="C63" s="446" t="s">
        <v>1054</v>
      </c>
      <c r="D63" s="446"/>
      <c r="E63" s="446"/>
      <c r="F63" s="44"/>
      <c r="G63" s="44"/>
      <c r="H63" s="15"/>
      <c r="I63" s="15"/>
      <c r="J63" s="15"/>
      <c r="K63" s="15"/>
      <c r="L63" s="15"/>
      <c r="M63" s="15"/>
      <c r="N63" s="15"/>
    </row>
    <row r="64" spans="1:14" x14ac:dyDescent="0.4">
      <c r="A64" s="9"/>
      <c r="B64" s="15"/>
      <c r="C64" s="15"/>
      <c r="D64" s="118"/>
      <c r="E64" s="118"/>
      <c r="F64" s="15"/>
      <c r="G64" s="44"/>
      <c r="H64" s="15"/>
      <c r="I64" s="15"/>
      <c r="J64" s="15"/>
      <c r="K64" s="15"/>
      <c r="L64" s="15"/>
      <c r="M64" s="15"/>
      <c r="N64" s="15"/>
    </row>
    <row r="65" spans="1:14" x14ac:dyDescent="0.4">
      <c r="A65" s="9"/>
      <c r="B65" s="365" t="s">
        <v>53</v>
      </c>
      <c r="C65" s="366" t="s">
        <v>1150</v>
      </c>
      <c r="D65" s="366" t="s">
        <v>1239</v>
      </c>
      <c r="E65" s="403" t="s">
        <v>1240</v>
      </c>
      <c r="F65" s="395" t="s">
        <v>626</v>
      </c>
      <c r="G65" s="396"/>
      <c r="H65" s="397"/>
      <c r="I65" s="398" t="s">
        <v>55</v>
      </c>
      <c r="J65" s="398"/>
      <c r="K65" s="398"/>
      <c r="L65" s="398" t="s">
        <v>56</v>
      </c>
      <c r="M65" s="398"/>
      <c r="N65" s="398"/>
    </row>
    <row r="66" spans="1:14" ht="38.450000000000003" x14ac:dyDescent="0.4">
      <c r="A66" s="2"/>
      <c r="B66" s="365"/>
      <c r="C66" s="402"/>
      <c r="D66" s="402"/>
      <c r="E66" s="404"/>
      <c r="F66" s="17" t="s">
        <v>57</v>
      </c>
      <c r="G66" s="17" t="s">
        <v>58</v>
      </c>
      <c r="H66" s="17" t="s">
        <v>59</v>
      </c>
      <c r="I66" s="17" t="s">
        <v>60</v>
      </c>
      <c r="J66" s="17" t="s">
        <v>58</v>
      </c>
      <c r="K66" s="17" t="s">
        <v>59</v>
      </c>
      <c r="L66" s="17" t="s">
        <v>60</v>
      </c>
      <c r="M66" s="17" t="s">
        <v>58</v>
      </c>
      <c r="N66" s="17" t="s">
        <v>59</v>
      </c>
    </row>
    <row r="67" spans="1:14" x14ac:dyDescent="0.4">
      <c r="A67" s="2"/>
      <c r="B67" s="17" t="s">
        <v>103</v>
      </c>
      <c r="C67" s="284">
        <v>114</v>
      </c>
      <c r="D67" s="101">
        <v>123</v>
      </c>
      <c r="E67" s="285">
        <v>92.45</v>
      </c>
      <c r="F67" s="285">
        <v>88.45</v>
      </c>
      <c r="G67" s="101">
        <v>140</v>
      </c>
      <c r="H67" s="101">
        <v>74</v>
      </c>
      <c r="I67" s="101" t="s">
        <v>41</v>
      </c>
      <c r="J67" s="101" t="s">
        <v>41</v>
      </c>
      <c r="K67" s="101" t="s">
        <v>41</v>
      </c>
      <c r="L67" s="101" t="s">
        <v>41</v>
      </c>
      <c r="M67" s="101" t="s">
        <v>41</v>
      </c>
      <c r="N67" s="101" t="s">
        <v>41</v>
      </c>
    </row>
    <row r="68" spans="1:14" ht="25.65" x14ac:dyDescent="0.4">
      <c r="A68" s="2"/>
      <c r="B68" s="17" t="s">
        <v>1152</v>
      </c>
      <c r="C68" s="285">
        <v>18609.349999999999</v>
      </c>
      <c r="D68" s="285">
        <v>17859.45</v>
      </c>
      <c r="E68" s="285">
        <v>17754.400000000001</v>
      </c>
      <c r="F68" s="285">
        <v>17359.75</v>
      </c>
      <c r="G68" s="285">
        <v>18887.599999999999</v>
      </c>
      <c r="H68" s="101">
        <v>16828.349999999999</v>
      </c>
      <c r="I68" s="101" t="s">
        <v>41</v>
      </c>
      <c r="J68" s="101" t="s">
        <v>41</v>
      </c>
      <c r="K68" s="101" t="s">
        <v>41</v>
      </c>
      <c r="L68" s="101" t="s">
        <v>41</v>
      </c>
      <c r="M68" s="101" t="s">
        <v>41</v>
      </c>
      <c r="N68" s="101" t="s">
        <v>41</v>
      </c>
    </row>
    <row r="69" spans="1:14" x14ac:dyDescent="0.4">
      <c r="A69" s="2"/>
      <c r="B69" s="17" t="s">
        <v>1087</v>
      </c>
      <c r="C69" s="546" t="s">
        <v>83</v>
      </c>
      <c r="D69" s="546"/>
      <c r="E69" s="546"/>
      <c r="F69" s="546"/>
      <c r="G69" s="546"/>
      <c r="H69" s="546"/>
      <c r="I69" s="546"/>
      <c r="J69" s="546"/>
      <c r="K69" s="546"/>
      <c r="L69" s="546"/>
      <c r="M69" s="546"/>
      <c r="N69" s="546"/>
    </row>
    <row r="70" spans="1:14" ht="12.7" customHeight="1" x14ac:dyDescent="0.4">
      <c r="A70" s="2"/>
      <c r="B70" s="480" t="s">
        <v>1177</v>
      </c>
      <c r="C70" s="480"/>
      <c r="D70" s="480"/>
      <c r="E70" s="480"/>
      <c r="F70" s="480"/>
      <c r="G70" s="480"/>
      <c r="H70" s="480"/>
      <c r="I70" s="480"/>
      <c r="J70" s="480"/>
      <c r="K70" s="480"/>
      <c r="L70" s="480"/>
      <c r="M70" s="480"/>
      <c r="N70" s="480"/>
    </row>
    <row r="71" spans="1:14" x14ac:dyDescent="0.4">
      <c r="A71" s="2"/>
      <c r="B71" s="545" t="s">
        <v>94</v>
      </c>
      <c r="C71" s="545"/>
      <c r="D71" s="545"/>
      <c r="E71" s="545"/>
      <c r="F71" s="545"/>
      <c r="G71" s="545"/>
      <c r="H71" s="545"/>
      <c r="I71" s="545"/>
      <c r="J71" s="545"/>
      <c r="K71" s="545"/>
      <c r="L71" s="545"/>
      <c r="M71" s="545"/>
      <c r="N71" s="545"/>
    </row>
    <row r="72" spans="1:14" x14ac:dyDescent="0.4">
      <c r="A72" s="2"/>
      <c r="B72" s="480" t="s">
        <v>63</v>
      </c>
      <c r="C72" s="480"/>
      <c r="D72" s="480"/>
      <c r="E72" s="480"/>
      <c r="F72" s="480"/>
      <c r="G72" s="480"/>
      <c r="H72" s="480"/>
      <c r="I72" s="480"/>
      <c r="J72" s="480"/>
      <c r="K72" s="480"/>
      <c r="L72" s="480"/>
      <c r="M72" s="480"/>
      <c r="N72" s="480"/>
    </row>
    <row r="73" spans="1:14" s="1" customFormat="1" x14ac:dyDescent="0.4">
      <c r="B73" s="474" t="s">
        <v>64</v>
      </c>
      <c r="C73" s="474"/>
      <c r="D73" s="474"/>
      <c r="E73" s="474"/>
      <c r="F73" s="474"/>
      <c r="G73" s="474"/>
      <c r="H73" s="474"/>
      <c r="I73" s="474"/>
      <c r="J73" s="474"/>
      <c r="K73" s="474"/>
      <c r="L73" s="474"/>
      <c r="M73" s="474"/>
      <c r="N73" s="474"/>
    </row>
    <row r="74" spans="1:14" x14ac:dyDescent="0.4">
      <c r="A74" s="2"/>
      <c r="B74" s="359" t="s">
        <v>358</v>
      </c>
      <c r="C74" s="359"/>
      <c r="D74" s="359"/>
      <c r="E74" s="359"/>
      <c r="F74" s="359"/>
      <c r="G74" s="359"/>
      <c r="H74" s="359"/>
      <c r="I74" s="359"/>
      <c r="J74" s="359"/>
      <c r="K74" s="359"/>
      <c r="L74" s="359"/>
      <c r="M74" s="359"/>
      <c r="N74" s="359"/>
    </row>
    <row r="75" spans="1:14" x14ac:dyDescent="0.4">
      <c r="A75" s="2"/>
      <c r="B75" s="359" t="s">
        <v>65</v>
      </c>
      <c r="C75" s="359"/>
      <c r="D75" s="359"/>
      <c r="E75" s="359"/>
      <c r="F75" s="359"/>
      <c r="G75" s="359"/>
      <c r="H75" s="359"/>
      <c r="I75" s="359"/>
      <c r="J75" s="359"/>
      <c r="K75" s="359"/>
      <c r="L75" s="359"/>
      <c r="M75" s="359"/>
      <c r="N75" s="359"/>
    </row>
    <row r="76" spans="1:14" x14ac:dyDescent="0.4">
      <c r="A76" s="2"/>
      <c r="B76" s="49"/>
      <c r="C76" s="49"/>
      <c r="D76" s="49"/>
      <c r="E76" s="49"/>
      <c r="F76" s="49"/>
      <c r="G76" s="13"/>
      <c r="H76" s="13"/>
      <c r="I76" s="13"/>
      <c r="J76" s="13"/>
      <c r="K76" s="13"/>
      <c r="L76" s="13"/>
      <c r="M76" s="13"/>
      <c r="N76" s="13"/>
    </row>
    <row r="77" spans="1:14" x14ac:dyDescent="0.4">
      <c r="A77" s="9">
        <v>13</v>
      </c>
      <c r="B77" s="405" t="s">
        <v>66</v>
      </c>
      <c r="C77" s="406"/>
      <c r="D77" s="406"/>
      <c r="E77" s="406"/>
      <c r="F77" s="406"/>
      <c r="G77" s="376"/>
      <c r="H77" s="11"/>
      <c r="I77" s="11"/>
      <c r="J77" s="11"/>
      <c r="K77" s="11"/>
      <c r="L77" s="11"/>
      <c r="M77" s="11"/>
      <c r="N77" s="11"/>
    </row>
    <row r="78" spans="1:14" x14ac:dyDescent="0.4">
      <c r="A78" s="9"/>
      <c r="C78" s="15"/>
      <c r="D78" s="15"/>
      <c r="E78" s="15"/>
      <c r="F78" s="15"/>
      <c r="G78" s="15"/>
      <c r="H78" s="15"/>
      <c r="I78" s="15"/>
      <c r="J78" s="15"/>
      <c r="K78" s="15"/>
      <c r="L78" s="15"/>
      <c r="M78" s="15"/>
      <c r="N78" s="15"/>
    </row>
    <row r="79" spans="1:14" ht="25.65" x14ac:dyDescent="0.4">
      <c r="A79" s="2"/>
      <c r="B79" s="50" t="s">
        <v>67</v>
      </c>
      <c r="C79" s="18" t="s">
        <v>68</v>
      </c>
      <c r="D79" s="18" t="s">
        <v>1127</v>
      </c>
      <c r="E79" s="18" t="s">
        <v>218</v>
      </c>
      <c r="F79" s="18" t="s">
        <v>71</v>
      </c>
      <c r="G79" s="18" t="s">
        <v>107</v>
      </c>
      <c r="H79" s="13"/>
      <c r="I79" s="13"/>
      <c r="J79" s="13"/>
      <c r="K79" s="13"/>
      <c r="L79" s="13"/>
      <c r="M79" s="13"/>
      <c r="N79" s="13"/>
    </row>
    <row r="80" spans="1:14" ht="13.25" customHeight="1" x14ac:dyDescent="0.35">
      <c r="A80" s="2"/>
      <c r="B80" s="394" t="s">
        <v>1270</v>
      </c>
      <c r="C80" s="3" t="s">
        <v>1153</v>
      </c>
      <c r="D80" s="65">
        <v>2.2200000000000002</v>
      </c>
      <c r="E80" s="52">
        <v>6.81</v>
      </c>
      <c r="F80" s="435" t="s">
        <v>1071</v>
      </c>
      <c r="G80" s="435" t="s">
        <v>1072</v>
      </c>
      <c r="H80" s="53"/>
      <c r="I80" s="53"/>
      <c r="J80" s="53"/>
      <c r="K80" s="53"/>
      <c r="L80" s="53"/>
      <c r="M80" s="53"/>
      <c r="N80" s="53"/>
    </row>
    <row r="81" spans="1:14" x14ac:dyDescent="0.4">
      <c r="A81" s="2"/>
      <c r="B81" s="394"/>
      <c r="C81" s="3" t="s">
        <v>765</v>
      </c>
      <c r="D81" s="54" t="s">
        <v>1077</v>
      </c>
      <c r="E81" s="52" t="s">
        <v>1077</v>
      </c>
      <c r="F81" s="436"/>
      <c r="G81" s="436"/>
      <c r="H81" s="53"/>
      <c r="I81" s="53"/>
      <c r="J81" s="53"/>
      <c r="K81" s="53"/>
      <c r="L81" s="53"/>
      <c r="M81" s="53"/>
      <c r="N81" s="53"/>
    </row>
    <row r="82" spans="1:14" x14ac:dyDescent="0.4">
      <c r="A82" s="2"/>
      <c r="B82" s="394"/>
      <c r="C82" s="3" t="s">
        <v>74</v>
      </c>
      <c r="D82" s="127">
        <v>0</v>
      </c>
      <c r="E82" s="127">
        <v>0</v>
      </c>
      <c r="F82" s="436"/>
      <c r="G82" s="436"/>
      <c r="H82" s="53"/>
      <c r="I82" s="53"/>
      <c r="J82" s="53"/>
      <c r="K82" s="53"/>
      <c r="L82" s="53"/>
      <c r="M82" s="53"/>
      <c r="N82" s="53"/>
    </row>
    <row r="83" spans="1:14" x14ac:dyDescent="0.35">
      <c r="A83" s="2"/>
      <c r="B83" s="394" t="s">
        <v>75</v>
      </c>
      <c r="C83" s="3" t="s">
        <v>1153</v>
      </c>
      <c r="D83" s="77">
        <v>11.72</v>
      </c>
      <c r="E83" s="55">
        <f>F67/E80</f>
        <v>12.988252569750369</v>
      </c>
      <c r="F83" s="436"/>
      <c r="G83" s="436"/>
      <c r="H83" s="53"/>
      <c r="I83" s="53"/>
      <c r="J83" s="53"/>
      <c r="K83" s="53"/>
      <c r="L83" s="53"/>
      <c r="M83" s="53"/>
      <c r="N83" s="53"/>
    </row>
    <row r="84" spans="1:14" x14ac:dyDescent="0.4">
      <c r="A84" s="2"/>
      <c r="B84" s="394"/>
      <c r="C84" s="3" t="s">
        <v>73</v>
      </c>
      <c r="D84" s="54" t="s">
        <v>1077</v>
      </c>
      <c r="E84" s="52" t="s">
        <v>1077</v>
      </c>
      <c r="F84" s="436"/>
      <c r="G84" s="436"/>
      <c r="H84" s="53"/>
      <c r="I84" s="53"/>
      <c r="J84" s="53"/>
      <c r="K84" s="53"/>
      <c r="L84" s="53"/>
      <c r="M84" s="53"/>
      <c r="N84" s="53"/>
    </row>
    <row r="85" spans="1:14" x14ac:dyDescent="0.4">
      <c r="A85" s="2"/>
      <c r="B85" s="394"/>
      <c r="C85" s="3" t="s">
        <v>74</v>
      </c>
      <c r="D85" s="127">
        <v>0</v>
      </c>
      <c r="E85" s="127">
        <v>0</v>
      </c>
      <c r="F85" s="436"/>
      <c r="G85" s="436"/>
      <c r="H85" s="53"/>
      <c r="I85" s="53"/>
      <c r="J85" s="53"/>
      <c r="K85" s="53"/>
      <c r="L85" s="53"/>
      <c r="M85" s="53"/>
      <c r="N85" s="53"/>
    </row>
    <row r="86" spans="1:14" ht="14.6" x14ac:dyDescent="0.4">
      <c r="A86" s="2"/>
      <c r="B86" s="394" t="s">
        <v>76</v>
      </c>
      <c r="C86" s="3" t="s">
        <v>1153</v>
      </c>
      <c r="D86" s="97">
        <v>0.1053</v>
      </c>
      <c r="E86" s="56">
        <f>528.4/3443.11</f>
        <v>0.15346590727568971</v>
      </c>
      <c r="F86" s="436"/>
      <c r="G86" s="436"/>
      <c r="H86" s="53"/>
      <c r="I86"/>
      <c r="J86"/>
      <c r="K86" s="1"/>
      <c r="L86"/>
      <c r="M86"/>
      <c r="N86"/>
    </row>
    <row r="87" spans="1:14" x14ac:dyDescent="0.4">
      <c r="A87" s="2"/>
      <c r="B87" s="394"/>
      <c r="C87" s="3" t="s">
        <v>73</v>
      </c>
      <c r="D87" s="54" t="s">
        <v>1077</v>
      </c>
      <c r="E87" s="52" t="s">
        <v>1077</v>
      </c>
      <c r="F87" s="436"/>
      <c r="G87" s="436"/>
      <c r="H87" s="53"/>
      <c r="I87" s="53"/>
      <c r="J87" s="53"/>
      <c r="K87" s="53"/>
      <c r="L87" s="53"/>
      <c r="M87" s="53"/>
      <c r="N87" s="53"/>
    </row>
    <row r="88" spans="1:14" x14ac:dyDescent="0.4">
      <c r="A88" s="2"/>
      <c r="B88" s="394"/>
      <c r="C88" s="3" t="s">
        <v>74</v>
      </c>
      <c r="D88" s="196">
        <v>0</v>
      </c>
      <c r="E88" s="127">
        <v>0</v>
      </c>
      <c r="F88" s="436"/>
      <c r="G88" s="436"/>
      <c r="H88" s="53"/>
      <c r="I88" s="53"/>
      <c r="J88" s="53"/>
      <c r="K88" s="53"/>
      <c r="L88" s="53"/>
      <c r="M88" s="53"/>
      <c r="N88" s="53"/>
    </row>
    <row r="89" spans="1:14" x14ac:dyDescent="0.35">
      <c r="A89" s="2"/>
      <c r="B89" s="394" t="s">
        <v>77</v>
      </c>
      <c r="C89" s="3" t="s">
        <v>1153</v>
      </c>
      <c r="D89" s="65">
        <v>21.94</v>
      </c>
      <c r="E89" s="55">
        <f>3443.11/73.25</f>
        <v>47.004914675767921</v>
      </c>
      <c r="F89" s="436"/>
      <c r="G89" s="436"/>
      <c r="H89" s="53"/>
      <c r="I89" s="53"/>
      <c r="J89" s="53"/>
      <c r="K89" s="53"/>
      <c r="L89" s="53"/>
      <c r="M89" s="53"/>
      <c r="N89" s="53"/>
    </row>
    <row r="90" spans="1:14" x14ac:dyDescent="0.4">
      <c r="A90" s="2"/>
      <c r="B90" s="394"/>
      <c r="C90" s="3" t="s">
        <v>73</v>
      </c>
      <c r="D90" s="54" t="s">
        <v>1077</v>
      </c>
      <c r="E90" s="52" t="s">
        <v>1077</v>
      </c>
      <c r="F90" s="436"/>
      <c r="G90" s="436"/>
      <c r="H90" s="53"/>
      <c r="I90" s="53"/>
      <c r="J90" s="53"/>
      <c r="L90" s="53"/>
      <c r="M90" s="53"/>
      <c r="N90" s="53"/>
    </row>
    <row r="91" spans="1:14" x14ac:dyDescent="0.4">
      <c r="A91" s="2"/>
      <c r="B91" s="411"/>
      <c r="C91" s="3" t="s">
        <v>74</v>
      </c>
      <c r="D91" s="127">
        <v>0</v>
      </c>
      <c r="E91" s="127">
        <v>0</v>
      </c>
      <c r="F91" s="436"/>
      <c r="G91" s="436"/>
      <c r="H91" s="53"/>
      <c r="I91" s="53"/>
      <c r="J91" s="53"/>
      <c r="L91" s="53"/>
      <c r="M91" s="53"/>
      <c r="N91" s="53"/>
    </row>
    <row r="92" spans="1:14" s="1" customFormat="1" x14ac:dyDescent="0.4">
      <c r="B92" s="412"/>
      <c r="C92" s="413"/>
      <c r="D92" s="413"/>
      <c r="E92" s="413"/>
      <c r="F92" s="413"/>
      <c r="G92" s="414"/>
      <c r="K92" s="8"/>
    </row>
    <row r="93" spans="1:14" x14ac:dyDescent="0.4">
      <c r="A93" s="2"/>
      <c r="B93" s="415" t="s">
        <v>1243</v>
      </c>
      <c r="C93" s="416"/>
      <c r="D93" s="416"/>
      <c r="E93" s="416"/>
      <c r="F93" s="416"/>
      <c r="G93" s="417"/>
      <c r="H93" s="53"/>
      <c r="I93" s="53"/>
      <c r="J93" s="53"/>
      <c r="L93" s="53"/>
      <c r="M93" s="53"/>
      <c r="N93" s="53"/>
    </row>
    <row r="94" spans="1:14" ht="30.7" customHeight="1" x14ac:dyDescent="0.4">
      <c r="A94" s="2"/>
      <c r="B94" s="415" t="s">
        <v>989</v>
      </c>
      <c r="C94" s="416"/>
      <c r="D94" s="416"/>
      <c r="E94" s="416"/>
      <c r="F94" s="416"/>
      <c r="G94" s="417"/>
      <c r="H94" s="53"/>
      <c r="I94" s="53"/>
      <c r="J94" s="53"/>
      <c r="L94" s="53"/>
      <c r="M94" s="53"/>
      <c r="N94" s="53"/>
    </row>
    <row r="95" spans="1:14" x14ac:dyDescent="0.4">
      <c r="A95" s="2"/>
      <c r="B95" s="363"/>
      <c r="C95" s="368"/>
      <c r="D95" s="368"/>
      <c r="E95" s="368"/>
      <c r="F95" s="368"/>
      <c r="G95" s="369"/>
      <c r="H95" s="53"/>
      <c r="I95" s="53"/>
      <c r="J95" s="53"/>
      <c r="L95" s="53"/>
      <c r="M95" s="53"/>
      <c r="N95" s="53"/>
    </row>
    <row r="96" spans="1:14" x14ac:dyDescent="0.4">
      <c r="C96" s="407"/>
      <c r="D96" s="407"/>
      <c r="E96" s="407"/>
      <c r="F96" s="407"/>
      <c r="G96" s="407"/>
      <c r="H96" s="53"/>
      <c r="I96" s="53"/>
    </row>
    <row r="97" spans="1:8" x14ac:dyDescent="0.4">
      <c r="A97" s="9">
        <v>14</v>
      </c>
      <c r="B97" s="61" t="s">
        <v>78</v>
      </c>
      <c r="C97" s="614" t="s">
        <v>41</v>
      </c>
      <c r="D97" s="615"/>
      <c r="E97" s="615"/>
      <c r="F97" s="615"/>
      <c r="G97" s="616"/>
    </row>
    <row r="98" spans="1:8" x14ac:dyDescent="0.4">
      <c r="C98" s="69"/>
      <c r="D98" s="69"/>
      <c r="E98" s="69"/>
      <c r="F98" s="69"/>
      <c r="G98" s="69"/>
    </row>
    <row r="100" spans="1:8" ht="12.7" customHeight="1" x14ac:dyDescent="0.4">
      <c r="B100" s="548" t="s">
        <v>1154</v>
      </c>
      <c r="C100" s="549"/>
      <c r="D100" s="549"/>
      <c r="E100" s="549"/>
      <c r="F100" s="549"/>
      <c r="G100" s="549"/>
      <c r="H100" s="295"/>
    </row>
    <row r="102" spans="1:8" ht="25.55" customHeight="1" x14ac:dyDescent="0.4">
      <c r="B102" s="497" t="s">
        <v>1232</v>
      </c>
      <c r="C102" s="497"/>
      <c r="D102" s="497"/>
      <c r="E102" s="497"/>
      <c r="F102" s="497"/>
      <c r="G102" s="497"/>
    </row>
    <row r="103" spans="1:8" x14ac:dyDescent="0.4">
      <c r="D103" s="230"/>
    </row>
    <row r="105" spans="1:8" x14ac:dyDescent="0.4">
      <c r="D105" s="107"/>
      <c r="E105" s="107"/>
    </row>
    <row r="106" spans="1:8" x14ac:dyDescent="0.4">
      <c r="E106" s="107"/>
    </row>
  </sheetData>
  <sheetProtection algorithmName="SHA-512" hashValue="vU424lCc9zeLCt1p9zqjNDQDtEdzBa7mQiiT66L63eExBKCxUiFy+zvDKSJoyntOlB+0yhs7C6wFo8GyIjz77Q==" saltValue="gZgph3et9Vsq3Nwl/Dzihg==" spinCount="100000" sheet="1" objects="1" scenarios="1"/>
  <mergeCells count="76">
    <mergeCell ref="C48:E48"/>
    <mergeCell ref="F47:H47"/>
    <mergeCell ref="F48:H48"/>
    <mergeCell ref="I48:K48"/>
    <mergeCell ref="I47:K47"/>
    <mergeCell ref="C96:G96"/>
    <mergeCell ref="C97:G97"/>
    <mergeCell ref="B86:B88"/>
    <mergeCell ref="B89:B91"/>
    <mergeCell ref="B92:G92"/>
    <mergeCell ref="B93:G93"/>
    <mergeCell ref="B94:G94"/>
    <mergeCell ref="B95:G95"/>
    <mergeCell ref="B80:B82"/>
    <mergeCell ref="F80:F91"/>
    <mergeCell ref="G80:G91"/>
    <mergeCell ref="B83:B85"/>
    <mergeCell ref="B72:N72"/>
    <mergeCell ref="B73:N73"/>
    <mergeCell ref="B74:N74"/>
    <mergeCell ref="B75:N75"/>
    <mergeCell ref="B77:G77"/>
    <mergeCell ref="B71:N71"/>
    <mergeCell ref="C54:E54"/>
    <mergeCell ref="C55:E55"/>
    <mergeCell ref="B56:E56"/>
    <mergeCell ref="B57:E57"/>
    <mergeCell ref="C59:E59"/>
    <mergeCell ref="B65:B66"/>
    <mergeCell ref="C65:C66"/>
    <mergeCell ref="D65:D66"/>
    <mergeCell ref="E65:E66"/>
    <mergeCell ref="F65:H65"/>
    <mergeCell ref="I65:K65"/>
    <mergeCell ref="L65:N65"/>
    <mergeCell ref="C69:N69"/>
    <mergeCell ref="B70:N70"/>
    <mergeCell ref="B26:E26"/>
    <mergeCell ref="B12:E12"/>
    <mergeCell ref="C14:E14"/>
    <mergeCell ref="B52:B53"/>
    <mergeCell ref="C52:E53"/>
    <mergeCell ref="B32:E32"/>
    <mergeCell ref="B34:E34"/>
    <mergeCell ref="B40:E40"/>
    <mergeCell ref="C41:E41"/>
    <mergeCell ref="C42:E42"/>
    <mergeCell ref="C43:E43"/>
    <mergeCell ref="B44:E44"/>
    <mergeCell ref="B46:E46"/>
    <mergeCell ref="B49:E49"/>
    <mergeCell ref="B51:E51"/>
    <mergeCell ref="C47:E47"/>
    <mergeCell ref="C11:E11"/>
    <mergeCell ref="A1:B1"/>
    <mergeCell ref="C3:E3"/>
    <mergeCell ref="C5:E5"/>
    <mergeCell ref="B6:E6"/>
    <mergeCell ref="C8:E8"/>
    <mergeCell ref="B9:E9"/>
    <mergeCell ref="B102:G102"/>
    <mergeCell ref="B100:G100"/>
    <mergeCell ref="C63:E63"/>
    <mergeCell ref="B15:E15"/>
    <mergeCell ref="C35:E35"/>
    <mergeCell ref="C36:E36"/>
    <mergeCell ref="C37:E37"/>
    <mergeCell ref="D28:D31"/>
    <mergeCell ref="E28:E31"/>
    <mergeCell ref="B17:E17"/>
    <mergeCell ref="C18:E18"/>
    <mergeCell ref="C19:E19"/>
    <mergeCell ref="C20:E20"/>
    <mergeCell ref="C21:E21"/>
    <mergeCell ref="C22:E22"/>
    <mergeCell ref="B25:E25"/>
  </mergeCells>
  <pageMargins left="0" right="0" top="0.42499999999999999" bottom="0.75" header="0.10625" footer="0.3"/>
  <pageSetup paperSize="5" scale="65" orientation="landscape" verticalDpi="300" r:id="rId1"/>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2"/>
  <sheetViews>
    <sheetView topLeftCell="E58"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6.07421875" style="8" customWidth="1"/>
    <col min="7" max="7" width="19" style="8" customWidth="1"/>
    <col min="8" max="16384" width="8.84375" style="8"/>
  </cols>
  <sheetData>
    <row r="1" spans="1:7" ht="14.35" customHeight="1" x14ac:dyDescent="0.4">
      <c r="A1" s="355" t="s">
        <v>0</v>
      </c>
      <c r="B1" s="355"/>
      <c r="D1" s="1"/>
    </row>
    <row r="3" spans="1:7" ht="19.25" customHeight="1" x14ac:dyDescent="0.4">
      <c r="A3" s="2" t="s">
        <v>1</v>
      </c>
      <c r="B3" s="3" t="s">
        <v>2</v>
      </c>
      <c r="C3" s="4" t="s">
        <v>196</v>
      </c>
    </row>
    <row r="4" spans="1:7" x14ac:dyDescent="0.4">
      <c r="D4" s="5"/>
    </row>
    <row r="5" spans="1:7" ht="21" customHeight="1" x14ac:dyDescent="0.4">
      <c r="A5" s="6">
        <v>1</v>
      </c>
      <c r="B5" s="7" t="s">
        <v>3</v>
      </c>
      <c r="C5" s="356" t="s">
        <v>197</v>
      </c>
      <c r="D5" s="357"/>
      <c r="E5" s="358"/>
    </row>
    <row r="6" spans="1:7" ht="15.05" customHeight="1" x14ac:dyDescent="0.4">
      <c r="A6" s="9"/>
      <c r="B6" s="359" t="s">
        <v>5</v>
      </c>
      <c r="C6" s="359"/>
      <c r="D6" s="359"/>
      <c r="E6" s="10"/>
    </row>
    <row r="7" spans="1:7" x14ac:dyDescent="0.4">
      <c r="A7" s="9"/>
      <c r="B7" s="11"/>
      <c r="D7" s="5"/>
    </row>
    <row r="8" spans="1:7" ht="21" customHeight="1" x14ac:dyDescent="0.4">
      <c r="A8" s="9">
        <v>2</v>
      </c>
      <c r="B8" s="7" t="s">
        <v>6</v>
      </c>
      <c r="C8" s="12" t="s">
        <v>198</v>
      </c>
      <c r="D8" s="5"/>
    </row>
    <row r="9" spans="1:7" ht="16.25" customHeight="1" x14ac:dyDescent="0.4">
      <c r="A9" s="9"/>
      <c r="B9" s="360" t="s">
        <v>5</v>
      </c>
      <c r="C9" s="361"/>
      <c r="D9" s="362"/>
    </row>
    <row r="10" spans="1:7" x14ac:dyDescent="0.4">
      <c r="A10" s="9"/>
      <c r="B10" s="11"/>
      <c r="D10" s="5"/>
    </row>
    <row r="11" spans="1:7" ht="30.6" customHeight="1" x14ac:dyDescent="0.4">
      <c r="A11" s="9">
        <v>3</v>
      </c>
      <c r="B11" s="7" t="s">
        <v>7</v>
      </c>
      <c r="C11" s="356" t="s">
        <v>8</v>
      </c>
      <c r="D11" s="357"/>
      <c r="E11" s="358"/>
    </row>
    <row r="12" spans="1:7" ht="17.45" customHeight="1" x14ac:dyDescent="0.4">
      <c r="A12" s="9"/>
      <c r="B12" s="359" t="s">
        <v>5</v>
      </c>
      <c r="C12" s="359"/>
      <c r="D12" s="359"/>
      <c r="E12" s="10"/>
    </row>
    <row r="13" spans="1:7" x14ac:dyDescent="0.4">
      <c r="A13" s="9"/>
      <c r="B13" s="11"/>
      <c r="D13" s="5"/>
      <c r="E13" s="8" t="s">
        <v>682</v>
      </c>
    </row>
    <row r="14" spans="1:7" ht="30.6" customHeight="1" x14ac:dyDescent="0.4">
      <c r="A14" s="9">
        <v>4</v>
      </c>
      <c r="B14" s="3" t="s">
        <v>9</v>
      </c>
      <c r="C14" s="4" t="s">
        <v>199</v>
      </c>
      <c r="D14" s="5"/>
    </row>
    <row r="15" spans="1:7" ht="14.35" customHeight="1" x14ac:dyDescent="0.4">
      <c r="A15" s="9"/>
      <c r="B15" s="363" t="s">
        <v>10</v>
      </c>
      <c r="C15" s="364"/>
      <c r="D15" s="5"/>
      <c r="G15" s="8" t="s">
        <v>683</v>
      </c>
    </row>
    <row r="16" spans="1:7"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200</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202</v>
      </c>
      <c r="D28" s="18" t="s">
        <v>22</v>
      </c>
      <c r="E28" s="18" t="s">
        <v>23</v>
      </c>
      <c r="F28" s="15"/>
    </row>
    <row r="29" spans="1:14" ht="12.7" customHeight="1" x14ac:dyDescent="0.4">
      <c r="A29" s="9"/>
      <c r="B29" s="19" t="s">
        <v>24</v>
      </c>
      <c r="C29" s="20">
        <v>4231.9799999999996</v>
      </c>
      <c r="D29" s="20">
        <v>4755.47</v>
      </c>
      <c r="E29" s="20">
        <v>5653.05</v>
      </c>
      <c r="F29" s="15"/>
    </row>
    <row r="30" spans="1:14" x14ac:dyDescent="0.4">
      <c r="A30" s="9"/>
      <c r="B30" s="19" t="s">
        <v>25</v>
      </c>
      <c r="C30" s="20">
        <v>253.74</v>
      </c>
      <c r="D30" s="20">
        <v>586.98</v>
      </c>
      <c r="E30" s="20">
        <v>802.64</v>
      </c>
      <c r="F30" s="15"/>
    </row>
    <row r="31" spans="1:14" x14ac:dyDescent="0.4">
      <c r="A31" s="9"/>
      <c r="B31" s="19" t="s">
        <v>26</v>
      </c>
      <c r="C31" s="20">
        <v>717.95</v>
      </c>
      <c r="D31" s="20">
        <v>717.95</v>
      </c>
      <c r="E31" s="20">
        <v>1005.13</v>
      </c>
      <c r="F31" s="15"/>
    </row>
    <row r="32" spans="1:14" x14ac:dyDescent="0.4">
      <c r="A32" s="9"/>
      <c r="B32" s="19" t="s">
        <v>27</v>
      </c>
      <c r="C32" s="20">
        <v>1133.78</v>
      </c>
      <c r="D32" s="20">
        <v>1720.78</v>
      </c>
      <c r="E32" s="20">
        <v>2236.2399999999998</v>
      </c>
      <c r="F32" s="15"/>
    </row>
    <row r="33" spans="1:10" x14ac:dyDescent="0.4">
      <c r="A33" s="9"/>
      <c r="B33" s="363" t="s">
        <v>204</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17</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205</v>
      </c>
      <c r="D43" s="374"/>
      <c r="E43" s="375"/>
      <c r="F43" s="13"/>
    </row>
    <row r="44" spans="1:10" x14ac:dyDescent="0.4">
      <c r="A44" s="9"/>
      <c r="B44" s="17" t="s">
        <v>31</v>
      </c>
      <c r="C44" s="373" t="s">
        <v>79</v>
      </c>
      <c r="D44" s="374"/>
      <c r="E44" s="375"/>
      <c r="F44" s="13"/>
    </row>
    <row r="45" spans="1:10" x14ac:dyDescent="0.4">
      <c r="A45" s="9"/>
      <c r="B45" s="17" t="s">
        <v>32</v>
      </c>
      <c r="C45" s="373" t="s">
        <v>79</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30.05" customHeight="1" x14ac:dyDescent="0.4">
      <c r="A50" s="29"/>
      <c r="B50" s="78" t="s">
        <v>207</v>
      </c>
      <c r="C50" s="78" t="s">
        <v>208</v>
      </c>
      <c r="D50" s="28"/>
      <c r="E50" s="27"/>
    </row>
    <row r="51" spans="1:12" x14ac:dyDescent="0.4">
      <c r="A51" s="29"/>
      <c r="B51" s="377"/>
      <c r="C51" s="378"/>
      <c r="D51" s="378"/>
      <c r="E51" s="379"/>
    </row>
    <row r="52" spans="1:12" x14ac:dyDescent="0.4">
      <c r="A52" s="31"/>
      <c r="B52" s="380" t="s">
        <v>209</v>
      </c>
      <c r="C52" s="381"/>
      <c r="D52" s="381"/>
      <c r="E52" s="382"/>
      <c r="F52" s="15"/>
      <c r="G52" s="15"/>
      <c r="H52" s="15"/>
    </row>
    <row r="53" spans="1:12" x14ac:dyDescent="0.4">
      <c r="A53" s="32"/>
      <c r="B53" s="62"/>
      <c r="C53" s="23"/>
      <c r="D53" s="23"/>
      <c r="E53" s="23"/>
      <c r="F53" s="15"/>
      <c r="G53" s="15"/>
      <c r="H53" s="15"/>
      <c r="I53" s="15"/>
    </row>
    <row r="54" spans="1:12" x14ac:dyDescent="0.4">
      <c r="A54" s="24">
        <v>10</v>
      </c>
      <c r="B54" s="376" t="s">
        <v>36</v>
      </c>
      <c r="C54" s="365"/>
      <c r="D54" s="365"/>
      <c r="E54" s="365"/>
      <c r="F54" s="15"/>
      <c r="G54" s="15"/>
      <c r="H54" s="15"/>
    </row>
    <row r="55" spans="1:12" x14ac:dyDescent="0.4">
      <c r="A55" s="29"/>
      <c r="B55" s="383" t="s">
        <v>43</v>
      </c>
      <c r="C55" s="385" t="s">
        <v>210</v>
      </c>
      <c r="D55" s="386"/>
      <c r="E55" s="387"/>
      <c r="K55" s="1"/>
    </row>
    <row r="56" spans="1:12" x14ac:dyDescent="0.4">
      <c r="A56" s="29"/>
      <c r="B56" s="384"/>
      <c r="C56" s="388"/>
      <c r="D56" s="389"/>
      <c r="E56" s="390"/>
      <c r="K56" s="1"/>
    </row>
    <row r="57" spans="1:12" x14ac:dyDescent="0.4">
      <c r="A57" s="24"/>
      <c r="B57" s="33" t="s">
        <v>44</v>
      </c>
      <c r="C57" s="391" t="s">
        <v>186</v>
      </c>
      <c r="D57" s="391"/>
      <c r="E57" s="391"/>
    </row>
    <row r="58" spans="1:12" x14ac:dyDescent="0.4">
      <c r="A58" s="29"/>
      <c r="B58" s="33" t="s">
        <v>45</v>
      </c>
      <c r="C58" s="391" t="s">
        <v>46</v>
      </c>
      <c r="D58" s="391"/>
      <c r="E58" s="391"/>
      <c r="K58" s="34"/>
    </row>
    <row r="59" spans="1:12" x14ac:dyDescent="0.4">
      <c r="A59" s="29"/>
      <c r="B59" s="380" t="s">
        <v>211</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212</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213</v>
      </c>
      <c r="D69" s="366" t="s">
        <v>214</v>
      </c>
      <c r="E69" s="403" t="s">
        <v>215</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61</v>
      </c>
      <c r="C71" s="46">
        <v>40.049999999999997</v>
      </c>
      <c r="D71" s="46">
        <v>40.5</v>
      </c>
      <c r="E71" s="46">
        <v>56.4</v>
      </c>
      <c r="F71" s="46">
        <v>120</v>
      </c>
      <c r="G71" s="46">
        <v>165</v>
      </c>
      <c r="H71" s="46">
        <v>37.5</v>
      </c>
      <c r="I71" s="45">
        <v>108.5</v>
      </c>
      <c r="J71" s="45">
        <v>165.5</v>
      </c>
      <c r="K71" s="45">
        <v>101</v>
      </c>
      <c r="L71" s="45">
        <v>100</v>
      </c>
      <c r="M71" s="45">
        <v>145</v>
      </c>
      <c r="N71" s="45">
        <v>87.5</v>
      </c>
    </row>
    <row r="72" spans="1:14" ht="25.65" x14ac:dyDescent="0.4">
      <c r="A72" s="2"/>
      <c r="B72" s="17" t="s">
        <v>216</v>
      </c>
      <c r="C72" s="45">
        <v>25626.75</v>
      </c>
      <c r="D72" s="45">
        <v>25489.57</v>
      </c>
      <c r="E72" s="45">
        <v>27808.14</v>
      </c>
      <c r="F72" s="46">
        <v>29648.99</v>
      </c>
      <c r="G72" s="46">
        <v>28661.58</v>
      </c>
      <c r="H72" s="46">
        <v>26064.12</v>
      </c>
      <c r="I72" s="46">
        <v>32968.68</v>
      </c>
      <c r="J72" s="46">
        <v>36443.980000000003</v>
      </c>
      <c r="K72" s="115">
        <v>29241.48</v>
      </c>
      <c r="L72" s="45">
        <v>38672.910000000003</v>
      </c>
      <c r="M72" s="45">
        <v>38989.65</v>
      </c>
      <c r="N72" s="45">
        <v>32972.559999999998</v>
      </c>
    </row>
    <row r="73" spans="1:14" x14ac:dyDescent="0.4">
      <c r="A73" s="2"/>
      <c r="B73" s="399" t="s">
        <v>217</v>
      </c>
      <c r="C73" s="400"/>
      <c r="D73" s="400"/>
      <c r="E73" s="400"/>
      <c r="F73" s="399"/>
      <c r="G73" s="399"/>
      <c r="H73" s="399"/>
      <c r="I73" s="399"/>
      <c r="J73" s="399"/>
      <c r="K73" s="399"/>
      <c r="L73" s="399"/>
      <c r="M73" s="399"/>
      <c r="N73" s="399"/>
    </row>
    <row r="74" spans="1:14" x14ac:dyDescent="0.4">
      <c r="A74" s="2"/>
      <c r="B74" s="401" t="s">
        <v>17</v>
      </c>
      <c r="C74" s="401"/>
      <c r="D74" s="401"/>
      <c r="E74" s="401"/>
      <c r="F74" s="401"/>
      <c r="G74" s="401"/>
      <c r="H74" s="401"/>
      <c r="I74" s="401"/>
      <c r="J74" s="401"/>
      <c r="K74" s="401"/>
      <c r="L74" s="401"/>
      <c r="M74" s="401"/>
      <c r="N74" s="401"/>
    </row>
    <row r="75" spans="1:14" x14ac:dyDescent="0.4">
      <c r="A75" s="2"/>
      <c r="B75" s="359" t="s">
        <v>63</v>
      </c>
      <c r="C75" s="359"/>
      <c r="D75" s="359"/>
      <c r="E75" s="359"/>
      <c r="F75" s="359"/>
      <c r="G75" s="359"/>
      <c r="H75" s="359"/>
      <c r="I75" s="359"/>
      <c r="J75" s="359"/>
      <c r="K75" s="359"/>
      <c r="L75" s="359"/>
      <c r="M75" s="359"/>
      <c r="N75" s="359"/>
    </row>
    <row r="76" spans="1:14" s="1" customFormat="1" x14ac:dyDescent="0.4">
      <c r="B76" s="359" t="s">
        <v>64</v>
      </c>
      <c r="C76" s="359"/>
      <c r="D76" s="359"/>
      <c r="E76" s="359"/>
      <c r="F76" s="359"/>
      <c r="G76" s="359"/>
      <c r="H76" s="359"/>
      <c r="I76" s="359"/>
      <c r="J76" s="359"/>
      <c r="K76" s="359"/>
      <c r="L76" s="359"/>
      <c r="M76" s="359"/>
      <c r="N76" s="359"/>
    </row>
    <row r="77" spans="1:14" x14ac:dyDescent="0.4">
      <c r="A77" s="2"/>
      <c r="B77" s="359" t="s">
        <v>80</v>
      </c>
      <c r="C77" s="359"/>
      <c r="D77" s="359"/>
      <c r="E77" s="359"/>
      <c r="F77" s="359"/>
      <c r="G77" s="359"/>
      <c r="H77" s="359"/>
      <c r="I77" s="359"/>
      <c r="J77" s="359"/>
      <c r="K77" s="359"/>
      <c r="L77" s="359"/>
      <c r="M77" s="359"/>
      <c r="N77" s="359"/>
    </row>
    <row r="78" spans="1:14" x14ac:dyDescent="0.4">
      <c r="A78" s="2"/>
      <c r="B78" s="359" t="s">
        <v>65</v>
      </c>
      <c r="C78" s="359"/>
      <c r="D78" s="359"/>
      <c r="E78" s="359"/>
      <c r="F78" s="359"/>
      <c r="G78" s="359"/>
      <c r="H78" s="359"/>
      <c r="I78" s="359"/>
      <c r="J78" s="359"/>
      <c r="K78" s="359"/>
      <c r="L78" s="359"/>
      <c r="M78" s="359"/>
      <c r="N78" s="359"/>
    </row>
    <row r="79" spans="1:14" x14ac:dyDescent="0.4">
      <c r="A79" s="2"/>
      <c r="B79" s="49"/>
      <c r="C79" s="49"/>
      <c r="D79" s="49"/>
      <c r="E79" s="49"/>
      <c r="F79" s="49"/>
      <c r="G79" s="13"/>
      <c r="H79" s="13"/>
      <c r="I79" s="13"/>
      <c r="J79" s="13"/>
      <c r="K79" s="13"/>
      <c r="L79" s="13"/>
      <c r="M79" s="13"/>
      <c r="N79" s="13"/>
    </row>
    <row r="80" spans="1:14" x14ac:dyDescent="0.4">
      <c r="A80" s="9">
        <v>13</v>
      </c>
      <c r="B80" s="405" t="s">
        <v>66</v>
      </c>
      <c r="C80" s="406"/>
      <c r="D80" s="406"/>
      <c r="E80" s="406"/>
      <c r="F80" s="406"/>
      <c r="G80" s="376"/>
      <c r="H80" s="11"/>
      <c r="I80" s="11"/>
      <c r="J80" s="11"/>
      <c r="K80" s="11"/>
      <c r="L80" s="11"/>
      <c r="M80" s="11"/>
      <c r="N80" s="11"/>
    </row>
    <row r="81" spans="1:14" x14ac:dyDescent="0.4">
      <c r="A81" s="9"/>
      <c r="C81" s="15"/>
      <c r="D81" s="15"/>
      <c r="E81" s="15"/>
      <c r="F81" s="15"/>
      <c r="G81" s="15"/>
      <c r="H81" s="15"/>
      <c r="I81" s="15"/>
      <c r="J81" s="15"/>
      <c r="K81" s="15"/>
      <c r="L81" s="15"/>
      <c r="M81" s="15"/>
      <c r="N81" s="15"/>
    </row>
    <row r="82" spans="1:14" ht="102.5" x14ac:dyDescent="0.4">
      <c r="A82" s="2"/>
      <c r="B82" s="50" t="s">
        <v>67</v>
      </c>
      <c r="C82" s="18" t="s">
        <v>68</v>
      </c>
      <c r="D82" s="18" t="s">
        <v>69</v>
      </c>
      <c r="E82" s="18" t="s">
        <v>218</v>
      </c>
      <c r="F82" s="18" t="s">
        <v>71</v>
      </c>
      <c r="G82" s="18" t="s">
        <v>107</v>
      </c>
      <c r="H82" s="13"/>
      <c r="I82" s="13"/>
      <c r="J82" s="13"/>
      <c r="K82" s="13"/>
      <c r="L82" s="13"/>
      <c r="M82" s="13"/>
      <c r="N82" s="13"/>
    </row>
    <row r="83" spans="1:14" ht="12.7" customHeight="1" x14ac:dyDescent="0.35">
      <c r="A83" s="2"/>
      <c r="B83" s="394" t="s">
        <v>72</v>
      </c>
      <c r="C83" s="3" t="s">
        <v>219</v>
      </c>
      <c r="D83" s="65">
        <v>1.74</v>
      </c>
      <c r="E83" s="66">
        <v>3.57</v>
      </c>
      <c r="F83" s="66">
        <v>8.18</v>
      </c>
      <c r="G83" s="4">
        <v>7.99</v>
      </c>
      <c r="I83" s="53"/>
      <c r="J83" s="53"/>
      <c r="K83" s="53"/>
      <c r="L83" s="53"/>
      <c r="M83" s="53"/>
      <c r="N83" s="53"/>
    </row>
    <row r="84" spans="1:14" x14ac:dyDescent="0.4">
      <c r="A84" s="2"/>
      <c r="B84" s="394"/>
      <c r="C84" s="3" t="s">
        <v>109</v>
      </c>
      <c r="D84" s="76" t="s">
        <v>84</v>
      </c>
      <c r="E84" s="76" t="s">
        <v>84</v>
      </c>
      <c r="F84" s="76"/>
      <c r="G84" s="4"/>
      <c r="I84" s="53"/>
      <c r="J84" s="53"/>
      <c r="K84" s="53"/>
      <c r="L84" s="53"/>
      <c r="M84" s="53"/>
      <c r="N84" s="53"/>
    </row>
    <row r="85" spans="1:14" x14ac:dyDescent="0.4">
      <c r="A85" s="2"/>
      <c r="B85" s="394"/>
      <c r="C85" s="3" t="s">
        <v>74</v>
      </c>
      <c r="D85" s="76" t="s">
        <v>84</v>
      </c>
      <c r="E85" s="76" t="s">
        <v>84</v>
      </c>
      <c r="F85" s="76"/>
      <c r="G85" s="4"/>
      <c r="I85" s="53"/>
      <c r="J85" s="53"/>
      <c r="K85" s="53"/>
      <c r="L85" s="53"/>
      <c r="M85" s="53"/>
      <c r="N85" s="53"/>
    </row>
    <row r="86" spans="1:14" x14ac:dyDescent="0.35">
      <c r="A86" s="2"/>
      <c r="B86" s="394" t="s">
        <v>75</v>
      </c>
      <c r="C86" s="3" t="s">
        <v>219</v>
      </c>
      <c r="D86" s="77">
        <v>11.32</v>
      </c>
      <c r="E86" s="66">
        <v>33.61</v>
      </c>
      <c r="F86" s="70">
        <f>77.47/8.18</f>
        <v>9.4706601466992666</v>
      </c>
      <c r="G86" s="4">
        <v>12.51</v>
      </c>
      <c r="I86" s="53"/>
      <c r="J86" s="53"/>
      <c r="K86" s="53"/>
      <c r="L86" s="53"/>
      <c r="M86" s="53"/>
      <c r="N86" s="53"/>
    </row>
    <row r="87" spans="1:14" x14ac:dyDescent="0.4">
      <c r="A87" s="2"/>
      <c r="B87" s="394"/>
      <c r="C87" s="3" t="s">
        <v>109</v>
      </c>
      <c r="D87" s="76" t="s">
        <v>84</v>
      </c>
      <c r="E87" s="76" t="s">
        <v>84</v>
      </c>
      <c r="F87" s="76"/>
      <c r="G87" s="4"/>
      <c r="I87" s="53"/>
      <c r="J87" s="53"/>
      <c r="K87" s="53"/>
      <c r="L87" s="53"/>
      <c r="M87" s="53"/>
      <c r="N87" s="53"/>
    </row>
    <row r="88" spans="1:14" x14ac:dyDescent="0.4">
      <c r="A88" s="2"/>
      <c r="B88" s="394"/>
      <c r="C88" s="3" t="s">
        <v>74</v>
      </c>
      <c r="D88" s="76" t="s">
        <v>84</v>
      </c>
      <c r="E88" s="76" t="s">
        <v>84</v>
      </c>
      <c r="F88" s="76"/>
      <c r="G88" s="4"/>
      <c r="I88" s="53"/>
      <c r="J88" s="53"/>
      <c r="K88" s="53"/>
      <c r="L88" s="53"/>
      <c r="M88" s="53"/>
      <c r="N88" s="53"/>
    </row>
    <row r="89" spans="1:14" x14ac:dyDescent="0.35">
      <c r="A89" s="2"/>
      <c r="B89" s="394" t="s">
        <v>76</v>
      </c>
      <c r="C89" s="3" t="s">
        <v>219</v>
      </c>
      <c r="D89" s="65">
        <v>11.32</v>
      </c>
      <c r="E89" s="91">
        <v>0.13700000000000001</v>
      </c>
      <c r="F89" s="71">
        <f>586.98/2438.73</f>
        <v>0.24069085138576227</v>
      </c>
      <c r="G89" s="121">
        <v>0.24759999999999999</v>
      </c>
      <c r="I89" s="53"/>
      <c r="J89" s="53"/>
      <c r="K89" s="53"/>
      <c r="L89" s="53"/>
      <c r="M89" s="53"/>
      <c r="N89" s="53"/>
    </row>
    <row r="90" spans="1:14" x14ac:dyDescent="0.4">
      <c r="A90" s="2"/>
      <c r="B90" s="394"/>
      <c r="C90" s="3" t="s">
        <v>109</v>
      </c>
      <c r="D90" s="76" t="s">
        <v>84</v>
      </c>
      <c r="E90" s="76" t="s">
        <v>84</v>
      </c>
      <c r="F90" s="76"/>
      <c r="G90" s="4"/>
      <c r="I90" s="53"/>
      <c r="J90" s="53"/>
      <c r="K90" s="53"/>
      <c r="L90" s="53"/>
      <c r="M90" s="53"/>
      <c r="N90" s="53"/>
    </row>
    <row r="91" spans="1:14" x14ac:dyDescent="0.4">
      <c r="A91" s="2"/>
      <c r="B91" s="394"/>
      <c r="C91" s="3" t="s">
        <v>74</v>
      </c>
      <c r="D91" s="76" t="s">
        <v>84</v>
      </c>
      <c r="E91" s="76" t="s">
        <v>84</v>
      </c>
      <c r="F91" s="76"/>
      <c r="G91" s="4"/>
      <c r="I91" s="53"/>
      <c r="J91" s="53"/>
      <c r="K91" s="57"/>
      <c r="L91" s="53"/>
      <c r="M91" s="53"/>
      <c r="N91" s="53"/>
    </row>
    <row r="92" spans="1:14" x14ac:dyDescent="0.35">
      <c r="A92" s="2"/>
      <c r="B92" s="394" t="s">
        <v>77</v>
      </c>
      <c r="C92" s="3" t="s">
        <v>219</v>
      </c>
      <c r="D92" s="65">
        <v>25.72</v>
      </c>
      <c r="E92" s="66">
        <v>25.79</v>
      </c>
      <c r="F92" s="70">
        <f>2438.73/71.795</f>
        <v>33.967964342920816</v>
      </c>
      <c r="G92" s="4">
        <v>32.25</v>
      </c>
      <c r="I92" s="53"/>
      <c r="J92" s="53"/>
      <c r="K92" s="53"/>
      <c r="L92" s="53"/>
      <c r="M92" s="53"/>
      <c r="N92" s="53"/>
    </row>
    <row r="93" spans="1:14" x14ac:dyDescent="0.4">
      <c r="A93" s="2"/>
      <c r="B93" s="394"/>
      <c r="C93" s="3" t="s">
        <v>109</v>
      </c>
      <c r="D93" s="76" t="s">
        <v>84</v>
      </c>
      <c r="E93" s="76" t="s">
        <v>84</v>
      </c>
      <c r="F93" s="76"/>
      <c r="G93" s="4"/>
      <c r="I93" s="53"/>
      <c r="J93" s="53"/>
      <c r="K93" s="53"/>
      <c r="L93" s="53"/>
      <c r="M93" s="53"/>
      <c r="N93" s="53"/>
    </row>
    <row r="94" spans="1:14" x14ac:dyDescent="0.4">
      <c r="A94" s="2"/>
      <c r="B94" s="411"/>
      <c r="C94" s="3" t="s">
        <v>74</v>
      </c>
      <c r="D94" s="76" t="s">
        <v>84</v>
      </c>
      <c r="E94" s="76" t="s">
        <v>84</v>
      </c>
      <c r="F94" s="76"/>
      <c r="G94" s="4"/>
      <c r="I94" s="53"/>
      <c r="J94" s="53"/>
      <c r="K94" s="53"/>
      <c r="L94" s="53"/>
      <c r="M94" s="53"/>
      <c r="N94" s="53"/>
    </row>
    <row r="95" spans="1:14" s="1" customFormat="1" ht="12.85" x14ac:dyDescent="0.4">
      <c r="B95" s="412" t="s">
        <v>110</v>
      </c>
      <c r="C95" s="413"/>
      <c r="D95" s="413"/>
      <c r="E95" s="413"/>
      <c r="F95" s="413"/>
      <c r="G95" s="414"/>
    </row>
    <row r="96" spans="1:14" x14ac:dyDescent="0.4">
      <c r="A96" s="2"/>
      <c r="B96" s="415" t="s">
        <v>221</v>
      </c>
      <c r="C96" s="416"/>
      <c r="D96" s="416"/>
      <c r="E96" s="416"/>
      <c r="F96" s="416"/>
      <c r="G96" s="417"/>
      <c r="H96" s="53"/>
      <c r="I96" s="53"/>
      <c r="J96" s="53"/>
      <c r="K96" s="53"/>
      <c r="L96" s="53"/>
      <c r="M96" s="53"/>
      <c r="N96" s="53"/>
    </row>
    <row r="97" spans="1:14" x14ac:dyDescent="0.4">
      <c r="A97" s="2"/>
      <c r="B97" s="418" t="s">
        <v>85</v>
      </c>
      <c r="C97" s="419"/>
      <c r="D97" s="419"/>
      <c r="E97" s="419"/>
      <c r="F97" s="419"/>
      <c r="G97" s="420"/>
      <c r="H97" s="53"/>
      <c r="I97" s="53"/>
      <c r="J97" s="53"/>
      <c r="K97" s="53"/>
      <c r="L97" s="53"/>
      <c r="M97" s="53"/>
      <c r="N97" s="53"/>
    </row>
    <row r="98" spans="1:14" x14ac:dyDescent="0.4">
      <c r="A98" s="2"/>
      <c r="B98" s="363"/>
      <c r="C98" s="368"/>
      <c r="D98" s="368"/>
      <c r="E98" s="368"/>
      <c r="F98" s="368"/>
      <c r="G98" s="369"/>
      <c r="H98" s="53"/>
      <c r="I98" s="53"/>
      <c r="J98" s="53"/>
      <c r="K98" s="53"/>
      <c r="L98" s="53"/>
      <c r="M98" s="53"/>
      <c r="N98" s="53"/>
    </row>
    <row r="99" spans="1:14" x14ac:dyDescent="0.4">
      <c r="C99" s="407"/>
      <c r="D99" s="407"/>
      <c r="E99" s="407"/>
      <c r="F99" s="407"/>
      <c r="G99" s="407"/>
      <c r="H99" s="53"/>
      <c r="I99" s="53"/>
    </row>
    <row r="100" spans="1:14" x14ac:dyDescent="0.4">
      <c r="A100" s="9">
        <v>14</v>
      </c>
      <c r="B100" s="61" t="s">
        <v>78</v>
      </c>
      <c r="C100" s="356" t="s">
        <v>222</v>
      </c>
      <c r="D100" s="357"/>
      <c r="E100" s="357"/>
      <c r="F100" s="357"/>
      <c r="G100" s="408"/>
    </row>
    <row r="101" spans="1:14" x14ac:dyDescent="0.4">
      <c r="A101" s="23"/>
      <c r="C101" s="69"/>
      <c r="D101" s="69"/>
      <c r="E101" s="69"/>
      <c r="F101" s="69"/>
      <c r="G101" s="69"/>
    </row>
    <row r="102" spans="1:14" x14ac:dyDescent="0.4">
      <c r="B102" s="409" t="s">
        <v>223</v>
      </c>
      <c r="C102" s="410"/>
      <c r="D102" s="410"/>
      <c r="E102" s="410"/>
      <c r="F102" s="410"/>
      <c r="G102" s="410"/>
      <c r="H102" s="410"/>
    </row>
  </sheetData>
  <sheetProtection password="E9DF" sheet="1" objects="1" scenarios="1"/>
  <mergeCells count="60">
    <mergeCell ref="B86:B88"/>
    <mergeCell ref="B89:B91"/>
    <mergeCell ref="B92:B94"/>
    <mergeCell ref="B102:H102"/>
    <mergeCell ref="B95:G95"/>
    <mergeCell ref="B96:G96"/>
    <mergeCell ref="B97:G97"/>
    <mergeCell ref="B98:G98"/>
    <mergeCell ref="C99:G99"/>
    <mergeCell ref="C100:G100"/>
    <mergeCell ref="B76:N76"/>
    <mergeCell ref="B77:N77"/>
    <mergeCell ref="B78:N78"/>
    <mergeCell ref="B80:G80"/>
    <mergeCell ref="B83:B85"/>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55:B56"/>
    <mergeCell ref="C55:E56"/>
    <mergeCell ref="B35:E35"/>
    <mergeCell ref="B39:C39"/>
    <mergeCell ref="B42:E42"/>
    <mergeCell ref="C43:E43"/>
    <mergeCell ref="C44:E44"/>
    <mergeCell ref="C45:E45"/>
    <mergeCell ref="B46:E46"/>
    <mergeCell ref="B48:E48"/>
    <mergeCell ref="B51:E51"/>
    <mergeCell ref="B52:E52"/>
    <mergeCell ref="B54:E54"/>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pageSetup paperSize="9" orientation="portrait" verticalDpi="120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N106"/>
  <sheetViews>
    <sheetView view="pageBreakPreview" zoomScale="60" zoomScaleNormal="100" zoomScalePageLayoutView="50" workbookViewId="0">
      <selection activeCell="C5" sqref="C5:G5"/>
    </sheetView>
  </sheetViews>
  <sheetFormatPr defaultColWidth="8.84375" defaultRowHeight="13.25" x14ac:dyDescent="0.4"/>
  <cols>
    <col min="1" max="1" width="8.84375" style="8"/>
    <col min="2" max="2" width="35" style="8" customWidth="1"/>
    <col min="3" max="4" width="15" style="8" customWidth="1"/>
    <col min="5" max="5" width="36.84375" style="8" bestFit="1"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97" t="s">
        <v>1157</v>
      </c>
      <c r="D3" s="497"/>
      <c r="E3" s="497"/>
    </row>
    <row r="4" spans="1:5" x14ac:dyDescent="0.4">
      <c r="D4" s="5"/>
    </row>
    <row r="5" spans="1:5" ht="12.7" customHeight="1" x14ac:dyDescent="0.4">
      <c r="A5" s="36">
        <v>1</v>
      </c>
      <c r="B5" s="3" t="s">
        <v>3</v>
      </c>
      <c r="C5" s="497" t="s">
        <v>1019</v>
      </c>
      <c r="D5" s="497"/>
      <c r="E5" s="497"/>
    </row>
    <row r="6" spans="1:5" x14ac:dyDescent="0.4">
      <c r="A6" s="9"/>
      <c r="B6" s="480" t="s">
        <v>5</v>
      </c>
      <c r="C6" s="480"/>
      <c r="D6" s="480"/>
      <c r="E6" s="480"/>
    </row>
    <row r="7" spans="1:5" x14ac:dyDescent="0.4">
      <c r="A7" s="9"/>
      <c r="B7" s="11"/>
      <c r="D7" s="5"/>
    </row>
    <row r="8" spans="1:5" x14ac:dyDescent="0.4">
      <c r="A8" s="9">
        <v>2</v>
      </c>
      <c r="B8" s="3" t="s">
        <v>6</v>
      </c>
      <c r="C8" s="497" t="s">
        <v>1155</v>
      </c>
      <c r="D8" s="497"/>
      <c r="E8" s="497"/>
    </row>
    <row r="9" spans="1:5" x14ac:dyDescent="0.4">
      <c r="A9" s="9"/>
      <c r="B9" s="480" t="s">
        <v>5</v>
      </c>
      <c r="C9" s="480"/>
      <c r="D9" s="480"/>
      <c r="E9" s="480"/>
    </row>
    <row r="10" spans="1:5" x14ac:dyDescent="0.4">
      <c r="A10" s="9"/>
      <c r="B10" s="11"/>
      <c r="D10" s="5"/>
    </row>
    <row r="11" spans="1:5" ht="25.6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46" t="s">
        <v>1174</v>
      </c>
      <c r="D14" s="446"/>
      <c r="E14" s="446"/>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38.450000000000003" x14ac:dyDescent="0.4">
      <c r="A19" s="9"/>
      <c r="B19" s="14" t="s">
        <v>1078</v>
      </c>
      <c r="C19" s="605" t="s">
        <v>560</v>
      </c>
      <c r="D19" s="606"/>
      <c r="E19" s="607"/>
      <c r="F19" s="15"/>
      <c r="G19" s="13"/>
      <c r="I19" s="13"/>
      <c r="J19" s="13"/>
      <c r="K19" s="13"/>
      <c r="L19" s="13"/>
      <c r="M19" s="13"/>
      <c r="N19" s="13"/>
    </row>
    <row r="20" spans="1:14" x14ac:dyDescent="0.4">
      <c r="A20" s="9"/>
      <c r="B20" s="14" t="s">
        <v>605</v>
      </c>
      <c r="C20" s="367" t="s">
        <v>560</v>
      </c>
      <c r="D20" s="367"/>
      <c r="E20" s="367"/>
      <c r="F20" s="15"/>
      <c r="G20" s="13"/>
      <c r="H20" s="13"/>
      <c r="I20" s="13"/>
      <c r="J20" s="13"/>
      <c r="K20" s="13"/>
      <c r="L20" s="13"/>
      <c r="M20" s="13"/>
      <c r="N20" s="13"/>
    </row>
    <row r="21" spans="1:14" x14ac:dyDescent="0.4">
      <c r="A21" s="9"/>
      <c r="B21" s="16" t="s">
        <v>15</v>
      </c>
      <c r="C21" s="447" t="s">
        <v>1071</v>
      </c>
      <c r="D21" s="447"/>
      <c r="E21" s="447"/>
      <c r="F21" s="15"/>
      <c r="G21" s="13"/>
      <c r="H21" s="13"/>
      <c r="I21" s="13"/>
      <c r="J21" s="13"/>
      <c r="K21" s="13"/>
      <c r="L21" s="13"/>
      <c r="M21" s="13"/>
      <c r="N21" s="13"/>
    </row>
    <row r="22" spans="1:14" x14ac:dyDescent="0.4">
      <c r="A22" s="9"/>
      <c r="B22" s="17" t="s">
        <v>16</v>
      </c>
      <c r="C22" s="446" t="s">
        <v>1072</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ht="13.25" customHeight="1" x14ac:dyDescent="0.4">
      <c r="A28" s="9"/>
      <c r="B28" s="19" t="s">
        <v>1272</v>
      </c>
      <c r="C28" s="21">
        <v>22761.86</v>
      </c>
      <c r="D28" s="540" t="s">
        <v>1071</v>
      </c>
      <c r="E28" s="540" t="s">
        <v>1072</v>
      </c>
      <c r="F28" s="15"/>
    </row>
    <row r="29" spans="1:14" x14ac:dyDescent="0.4">
      <c r="A29" s="9"/>
      <c r="B29" s="19" t="s">
        <v>25</v>
      </c>
      <c r="C29" s="21">
        <v>1709.62</v>
      </c>
      <c r="D29" s="541"/>
      <c r="E29" s="541"/>
      <c r="F29" s="15"/>
    </row>
    <row r="30" spans="1:14" x14ac:dyDescent="0.4">
      <c r="A30" s="9"/>
      <c r="B30" s="19" t="s">
        <v>26</v>
      </c>
      <c r="C30" s="21">
        <v>2413.48</v>
      </c>
      <c r="D30" s="541"/>
      <c r="E30" s="541"/>
      <c r="F30" s="15"/>
    </row>
    <row r="31" spans="1:14" x14ac:dyDescent="0.4">
      <c r="A31" s="9"/>
      <c r="B31" s="19" t="s">
        <v>27</v>
      </c>
      <c r="C31" s="21">
        <v>5273.41</v>
      </c>
      <c r="D31" s="542"/>
      <c r="E31" s="542"/>
      <c r="F31" s="15"/>
    </row>
    <row r="32" spans="1:14" x14ac:dyDescent="0.4">
      <c r="A32" s="9"/>
      <c r="B32" s="363" t="s">
        <v>1151</v>
      </c>
      <c r="C32" s="368"/>
      <c r="D32" s="368"/>
      <c r="E32" s="369"/>
      <c r="F32" s="15"/>
    </row>
    <row r="33" spans="1:10" x14ac:dyDescent="0.4">
      <c r="A33" s="9"/>
      <c r="B33" s="13"/>
      <c r="C33" s="15"/>
      <c r="D33" s="15"/>
      <c r="E33" s="15"/>
      <c r="F33" s="15"/>
    </row>
    <row r="34" spans="1:10" x14ac:dyDescent="0.4">
      <c r="A34" s="9">
        <v>7</v>
      </c>
      <c r="B34" s="365" t="s">
        <v>28</v>
      </c>
      <c r="C34" s="365"/>
      <c r="D34" s="365"/>
      <c r="E34" s="365"/>
      <c r="F34" s="11"/>
      <c r="G34" s="11"/>
      <c r="H34" s="11"/>
      <c r="I34" s="11"/>
      <c r="J34" s="11"/>
    </row>
    <row r="35" spans="1:10" ht="25.55" customHeight="1" x14ac:dyDescent="0.4">
      <c r="A35" s="9"/>
      <c r="B35" s="17" t="s">
        <v>29</v>
      </c>
      <c r="C35" s="446" t="s">
        <v>30</v>
      </c>
      <c r="D35" s="446"/>
      <c r="E35" s="446"/>
      <c r="F35" s="13"/>
    </row>
    <row r="36" spans="1:10" ht="38.25" customHeight="1" x14ac:dyDescent="0.4">
      <c r="A36" s="9"/>
      <c r="B36" s="17" t="s">
        <v>31</v>
      </c>
      <c r="C36" s="446" t="s">
        <v>1071</v>
      </c>
      <c r="D36" s="446"/>
      <c r="E36" s="446"/>
      <c r="F36" s="13"/>
    </row>
    <row r="37" spans="1:10" ht="38.25" customHeight="1" x14ac:dyDescent="0.4">
      <c r="A37" s="9"/>
      <c r="B37" s="17" t="s">
        <v>32</v>
      </c>
      <c r="C37" s="446" t="s">
        <v>1072</v>
      </c>
      <c r="D37" s="446"/>
      <c r="E37" s="446"/>
      <c r="F37" s="13"/>
    </row>
    <row r="38" spans="1:10" x14ac:dyDescent="0.4">
      <c r="A38" s="9"/>
      <c r="C38" s="13"/>
      <c r="D38" s="13"/>
      <c r="E38" s="13"/>
      <c r="F38" s="13"/>
    </row>
    <row r="39" spans="1:10" x14ac:dyDescent="0.4">
      <c r="A39" s="9"/>
      <c r="B39" s="15"/>
      <c r="C39" s="13"/>
      <c r="D39" s="13"/>
      <c r="E39" s="13"/>
      <c r="F39" s="13"/>
    </row>
    <row r="40" spans="1:10" x14ac:dyDescent="0.4">
      <c r="A40" s="9">
        <v>8</v>
      </c>
      <c r="B40" s="365" t="s">
        <v>1084</v>
      </c>
      <c r="C40" s="365"/>
      <c r="D40" s="365"/>
      <c r="E40" s="365"/>
      <c r="F40" s="11"/>
      <c r="G40" s="11"/>
      <c r="H40" s="11"/>
      <c r="I40" s="11"/>
      <c r="J40" s="11"/>
    </row>
    <row r="41" spans="1:10" x14ac:dyDescent="0.4">
      <c r="A41" s="9"/>
      <c r="B41" s="17" t="s">
        <v>34</v>
      </c>
      <c r="C41" s="373" t="s">
        <v>937</v>
      </c>
      <c r="D41" s="374"/>
      <c r="E41" s="375"/>
      <c r="F41" s="13"/>
    </row>
    <row r="42" spans="1:10" ht="15.05" x14ac:dyDescent="0.45">
      <c r="A42" s="9"/>
      <c r="B42" s="17" t="s">
        <v>31</v>
      </c>
      <c r="C42" s="373" t="s">
        <v>1071</v>
      </c>
      <c r="D42" s="374"/>
      <c r="E42" s="375"/>
      <c r="F42" s="182"/>
      <c r="I42" s="182"/>
    </row>
    <row r="43" spans="1:10" x14ac:dyDescent="0.4">
      <c r="A43" s="9"/>
      <c r="B43" s="17" t="s">
        <v>32</v>
      </c>
      <c r="C43" s="373" t="s">
        <v>1072</v>
      </c>
      <c r="D43" s="374"/>
      <c r="E43" s="375"/>
      <c r="F43" s="13"/>
    </row>
    <row r="44" spans="1:10" x14ac:dyDescent="0.4">
      <c r="A44" s="9"/>
      <c r="B44" s="363" t="s">
        <v>1073</v>
      </c>
      <c r="C44" s="368"/>
      <c r="D44" s="368"/>
      <c r="E44" s="369"/>
      <c r="F44" s="13"/>
    </row>
    <row r="45" spans="1:10" x14ac:dyDescent="0.4">
      <c r="A45" s="24">
        <v>9</v>
      </c>
      <c r="B45" s="376" t="s">
        <v>1085</v>
      </c>
      <c r="C45" s="365"/>
      <c r="D45" s="365"/>
      <c r="E45" s="365"/>
      <c r="F45" s="25"/>
      <c r="G45" s="11"/>
      <c r="H45" s="11"/>
      <c r="I45" s="11"/>
    </row>
    <row r="46" spans="1:10" ht="46.5" customHeight="1" x14ac:dyDescent="0.4">
      <c r="A46" s="24"/>
      <c r="B46" s="26" t="s">
        <v>37</v>
      </c>
      <c r="C46" s="27" t="s">
        <v>38</v>
      </c>
      <c r="D46" s="28" t="s">
        <v>39</v>
      </c>
      <c r="E46" s="27" t="s">
        <v>206</v>
      </c>
    </row>
    <row r="47" spans="1:10" ht="150" customHeight="1" x14ac:dyDescent="0.4">
      <c r="A47" s="29"/>
      <c r="B47" s="78" t="s">
        <v>307</v>
      </c>
      <c r="C47" s="78" t="s">
        <v>1156</v>
      </c>
      <c r="D47" s="78" t="s">
        <v>1219</v>
      </c>
      <c r="E47" s="160" t="s">
        <v>1220</v>
      </c>
    </row>
    <row r="48" spans="1:10" x14ac:dyDescent="0.4">
      <c r="A48" s="32"/>
      <c r="B48" s="62"/>
      <c r="C48" s="23"/>
      <c r="D48" s="23"/>
      <c r="E48" s="23"/>
      <c r="F48" s="15"/>
      <c r="G48" s="15"/>
      <c r="H48" s="15"/>
      <c r="I48" s="15"/>
    </row>
    <row r="49" spans="1:14" x14ac:dyDescent="0.4">
      <c r="A49" s="24">
        <v>10</v>
      </c>
      <c r="B49" s="376" t="s">
        <v>1085</v>
      </c>
      <c r="C49" s="365"/>
      <c r="D49" s="365"/>
      <c r="E49" s="365"/>
      <c r="F49" s="15"/>
      <c r="G49" s="15"/>
      <c r="H49" s="15"/>
    </row>
    <row r="50" spans="1:14" x14ac:dyDescent="0.4">
      <c r="A50" s="29"/>
      <c r="B50" s="452" t="s">
        <v>43</v>
      </c>
      <c r="C50" s="385" t="s">
        <v>1156</v>
      </c>
      <c r="D50" s="386"/>
      <c r="E50" s="387"/>
      <c r="K50" s="1"/>
    </row>
    <row r="51" spans="1:14" ht="36" customHeight="1" x14ac:dyDescent="0.4">
      <c r="A51" s="29"/>
      <c r="B51" s="552"/>
      <c r="C51" s="388"/>
      <c r="D51" s="389"/>
      <c r="E51" s="390"/>
      <c r="K51" s="1"/>
    </row>
    <row r="52" spans="1:14" ht="89.25" customHeight="1" x14ac:dyDescent="0.4">
      <c r="A52" s="24"/>
      <c r="B52" s="33" t="s">
        <v>44</v>
      </c>
      <c r="C52" s="391" t="s">
        <v>1156</v>
      </c>
      <c r="D52" s="391"/>
      <c r="E52" s="391"/>
    </row>
    <row r="53" spans="1:14" ht="39.75" customHeight="1" x14ac:dyDescent="0.4">
      <c r="A53" s="29"/>
      <c r="B53" s="33" t="s">
        <v>45</v>
      </c>
      <c r="C53" s="471" t="s">
        <v>1220</v>
      </c>
      <c r="D53" s="472"/>
      <c r="E53" s="473"/>
      <c r="K53" s="34"/>
    </row>
    <row r="54" spans="1:14" s="63" customFormat="1" x14ac:dyDescent="0.35">
      <c r="A54" s="35" t="s">
        <v>47</v>
      </c>
      <c r="B54" s="392" t="s">
        <v>48</v>
      </c>
      <c r="C54" s="392"/>
      <c r="D54" s="392"/>
      <c r="E54" s="392"/>
      <c r="G54" s="296"/>
    </row>
    <row r="55" spans="1:14" x14ac:dyDescent="0.4">
      <c r="A55" s="40"/>
      <c r="B55" s="41"/>
      <c r="C55" s="42"/>
      <c r="D55" s="42"/>
      <c r="E55" s="42"/>
      <c r="F55" s="42"/>
      <c r="G55" s="230"/>
    </row>
    <row r="56" spans="1:14" x14ac:dyDescent="0.4">
      <c r="A56" s="9">
        <v>11</v>
      </c>
      <c r="B56" s="3" t="s">
        <v>49</v>
      </c>
      <c r="C56" s="393" t="s">
        <v>1053</v>
      </c>
      <c r="D56" s="393"/>
      <c r="E56" s="393"/>
      <c r="F56" s="11"/>
      <c r="G56" s="11"/>
      <c r="H56" s="43"/>
      <c r="I56" s="11"/>
      <c r="J56" s="11"/>
    </row>
    <row r="57" spans="1:14" x14ac:dyDescent="0.4">
      <c r="A57" s="9"/>
      <c r="B57" s="15"/>
      <c r="C57" s="15"/>
      <c r="D57" s="15"/>
      <c r="E57" s="15"/>
      <c r="F57" s="15"/>
      <c r="G57" s="118"/>
      <c r="H57" s="44"/>
      <c r="I57" s="44"/>
      <c r="J57" s="15"/>
    </row>
    <row r="58" spans="1:14" x14ac:dyDescent="0.4">
      <c r="A58" s="9">
        <v>12</v>
      </c>
      <c r="B58" s="11" t="s">
        <v>51</v>
      </c>
      <c r="C58" s="11"/>
      <c r="D58" s="11"/>
      <c r="E58" s="43"/>
      <c r="F58" s="43"/>
      <c r="G58" s="282"/>
      <c r="H58" s="11"/>
      <c r="I58" s="11"/>
      <c r="J58" s="11"/>
      <c r="K58" s="11"/>
      <c r="L58" s="11"/>
      <c r="M58" s="11"/>
      <c r="N58" s="11"/>
    </row>
    <row r="59" spans="1:14" x14ac:dyDescent="0.4">
      <c r="A59" s="9"/>
      <c r="B59" s="11"/>
      <c r="C59" s="11"/>
      <c r="D59" s="11"/>
      <c r="E59" s="43"/>
      <c r="F59" s="43"/>
      <c r="G59" s="43"/>
      <c r="H59" s="11"/>
      <c r="I59" s="11"/>
      <c r="J59" s="11"/>
      <c r="K59" s="11"/>
      <c r="L59" s="11"/>
      <c r="M59" s="11"/>
      <c r="N59" s="11"/>
    </row>
    <row r="60" spans="1:14" x14ac:dyDescent="0.4">
      <c r="A60" s="9"/>
      <c r="B60" s="17" t="s">
        <v>52</v>
      </c>
      <c r="C60" s="446" t="s">
        <v>1158</v>
      </c>
      <c r="D60" s="446"/>
      <c r="E60" s="446"/>
      <c r="F60" s="44"/>
      <c r="G60" s="44"/>
      <c r="H60" s="15"/>
      <c r="I60" s="15"/>
      <c r="J60" s="15"/>
      <c r="K60" s="15"/>
      <c r="L60" s="15"/>
      <c r="M60" s="15"/>
      <c r="N60" s="15"/>
    </row>
    <row r="61" spans="1:14" x14ac:dyDescent="0.4">
      <c r="A61" s="9"/>
      <c r="B61" s="15"/>
      <c r="C61" s="15"/>
      <c r="D61" s="118"/>
      <c r="E61" s="118"/>
      <c r="F61" s="15"/>
      <c r="G61" s="15"/>
      <c r="H61" s="15"/>
      <c r="I61" s="15"/>
      <c r="J61" s="15"/>
      <c r="K61" s="15"/>
      <c r="L61" s="15"/>
      <c r="M61" s="15"/>
      <c r="N61" s="15"/>
    </row>
    <row r="62" spans="1:14" x14ac:dyDescent="0.4">
      <c r="A62" s="9"/>
      <c r="B62" s="365" t="s">
        <v>53</v>
      </c>
      <c r="C62" s="366" t="s">
        <v>1159</v>
      </c>
      <c r="D62" s="366" t="s">
        <v>1237</v>
      </c>
      <c r="E62" s="403" t="s">
        <v>1238</v>
      </c>
      <c r="F62" s="395" t="s">
        <v>626</v>
      </c>
      <c r="G62" s="396"/>
      <c r="H62" s="397"/>
      <c r="I62" s="398" t="s">
        <v>55</v>
      </c>
      <c r="J62" s="398"/>
      <c r="K62" s="398"/>
      <c r="L62" s="398" t="s">
        <v>56</v>
      </c>
      <c r="M62" s="398"/>
      <c r="N62" s="398"/>
    </row>
    <row r="63" spans="1:14" ht="38.450000000000003" x14ac:dyDescent="0.4">
      <c r="A63" s="2"/>
      <c r="B63" s="365"/>
      <c r="C63" s="402"/>
      <c r="D63" s="402"/>
      <c r="E63" s="404"/>
      <c r="F63" s="17" t="s">
        <v>1223</v>
      </c>
      <c r="G63" s="17" t="s">
        <v>58</v>
      </c>
      <c r="H63" s="17" t="s">
        <v>59</v>
      </c>
      <c r="I63" s="17" t="s">
        <v>60</v>
      </c>
      <c r="J63" s="17" t="s">
        <v>58</v>
      </c>
      <c r="K63" s="17" t="s">
        <v>59</v>
      </c>
      <c r="L63" s="17" t="s">
        <v>60</v>
      </c>
      <c r="M63" s="17" t="s">
        <v>58</v>
      </c>
      <c r="N63" s="17" t="s">
        <v>59</v>
      </c>
    </row>
    <row r="64" spans="1:14" x14ac:dyDescent="0.4">
      <c r="A64" s="2"/>
      <c r="B64" s="17" t="s">
        <v>103</v>
      </c>
      <c r="C64" s="284">
        <v>64.599999999999994</v>
      </c>
      <c r="D64" s="101">
        <v>55.6</v>
      </c>
      <c r="E64" s="101">
        <v>45.5</v>
      </c>
      <c r="F64" s="101">
        <v>41.5</v>
      </c>
      <c r="G64" s="101">
        <v>68</v>
      </c>
      <c r="H64" s="101">
        <v>40.1</v>
      </c>
      <c r="I64" s="45" t="s">
        <v>41</v>
      </c>
      <c r="J64" s="45" t="s">
        <v>41</v>
      </c>
      <c r="K64" s="45" t="s">
        <v>41</v>
      </c>
      <c r="L64" s="45" t="s">
        <v>41</v>
      </c>
      <c r="M64" s="45" t="s">
        <v>41</v>
      </c>
      <c r="N64" s="45" t="s">
        <v>41</v>
      </c>
    </row>
    <row r="65" spans="1:14" ht="25.65" x14ac:dyDescent="0.4">
      <c r="A65" s="2"/>
      <c r="B65" s="17" t="s">
        <v>1152</v>
      </c>
      <c r="C65" s="284">
        <v>17894.849999999999</v>
      </c>
      <c r="D65" s="286">
        <v>17929.849999999999</v>
      </c>
      <c r="E65" s="101">
        <v>17706.849999999999</v>
      </c>
      <c r="F65" s="101">
        <v>17359.75</v>
      </c>
      <c r="G65" s="101">
        <v>18201.25</v>
      </c>
      <c r="H65" s="101">
        <v>16828.349999999999</v>
      </c>
      <c r="I65" s="45" t="s">
        <v>41</v>
      </c>
      <c r="J65" s="45" t="s">
        <v>41</v>
      </c>
      <c r="K65" s="45" t="s">
        <v>41</v>
      </c>
      <c r="L65" s="45" t="s">
        <v>41</v>
      </c>
      <c r="M65" s="45" t="s">
        <v>41</v>
      </c>
      <c r="N65" s="45" t="s">
        <v>41</v>
      </c>
    </row>
    <row r="66" spans="1:14" x14ac:dyDescent="0.4">
      <c r="A66" s="2"/>
      <c r="B66" s="17" t="s">
        <v>1087</v>
      </c>
      <c r="C66" s="546" t="s">
        <v>83</v>
      </c>
      <c r="D66" s="546"/>
      <c r="E66" s="546"/>
      <c r="F66" s="546"/>
      <c r="G66" s="546"/>
      <c r="H66" s="546"/>
      <c r="I66" s="546"/>
      <c r="J66" s="546"/>
      <c r="K66" s="546"/>
      <c r="L66" s="546"/>
      <c r="M66" s="546"/>
      <c r="N66" s="546"/>
    </row>
    <row r="67" spans="1:14" x14ac:dyDescent="0.4">
      <c r="A67" s="2"/>
      <c r="B67" s="626" t="s">
        <v>1178</v>
      </c>
      <c r="C67" s="627"/>
      <c r="D67" s="627"/>
      <c r="E67" s="627"/>
      <c r="F67" s="627"/>
      <c r="G67" s="627"/>
      <c r="H67" s="627"/>
      <c r="I67" s="627"/>
      <c r="J67" s="627"/>
      <c r="K67" s="627"/>
      <c r="L67" s="627"/>
      <c r="M67" s="627"/>
      <c r="N67" s="628"/>
    </row>
    <row r="68" spans="1:14" x14ac:dyDescent="0.4">
      <c r="A68" s="2"/>
      <c r="B68" s="545" t="s">
        <v>94</v>
      </c>
      <c r="C68" s="545"/>
      <c r="D68" s="545"/>
      <c r="E68" s="545"/>
      <c r="F68" s="545"/>
      <c r="G68" s="545"/>
      <c r="H68" s="545"/>
      <c r="I68" s="545"/>
      <c r="J68" s="545"/>
      <c r="K68" s="545"/>
      <c r="L68" s="545"/>
      <c r="M68" s="545"/>
      <c r="N68" s="545"/>
    </row>
    <row r="69" spans="1:14" x14ac:dyDescent="0.4">
      <c r="A69" s="2"/>
      <c r="B69" s="480" t="s">
        <v>63</v>
      </c>
      <c r="C69" s="480"/>
      <c r="D69" s="480"/>
      <c r="E69" s="480"/>
      <c r="F69" s="480"/>
      <c r="G69" s="480"/>
      <c r="H69" s="480"/>
      <c r="I69" s="480"/>
      <c r="J69" s="480"/>
      <c r="K69" s="480"/>
      <c r="L69" s="480"/>
      <c r="M69" s="480"/>
      <c r="N69" s="480"/>
    </row>
    <row r="70" spans="1:14" s="1" customFormat="1" x14ac:dyDescent="0.4">
      <c r="B70" s="474" t="s">
        <v>64</v>
      </c>
      <c r="C70" s="474"/>
      <c r="D70" s="474"/>
      <c r="E70" s="474"/>
      <c r="F70" s="474"/>
      <c r="G70" s="474"/>
      <c r="H70" s="474"/>
      <c r="I70" s="474"/>
      <c r="J70" s="474"/>
      <c r="K70" s="474"/>
      <c r="L70" s="474"/>
      <c r="M70" s="474"/>
      <c r="N70" s="474"/>
    </row>
    <row r="71" spans="1:14" x14ac:dyDescent="0.4">
      <c r="A71" s="2"/>
      <c r="B71" s="359" t="s">
        <v>358</v>
      </c>
      <c r="C71" s="359"/>
      <c r="D71" s="359"/>
      <c r="E71" s="359"/>
      <c r="F71" s="359"/>
      <c r="G71" s="359"/>
      <c r="H71" s="359"/>
      <c r="I71" s="359"/>
      <c r="J71" s="359"/>
      <c r="K71" s="359"/>
      <c r="L71" s="359"/>
      <c r="M71" s="359"/>
      <c r="N71" s="359"/>
    </row>
    <row r="72" spans="1:14" x14ac:dyDescent="0.4">
      <c r="A72" s="2"/>
      <c r="B72" s="359" t="s">
        <v>65</v>
      </c>
      <c r="C72" s="359"/>
      <c r="D72" s="359"/>
      <c r="E72" s="359"/>
      <c r="F72" s="359"/>
      <c r="G72" s="359"/>
      <c r="H72" s="359"/>
      <c r="I72" s="359"/>
      <c r="J72" s="359"/>
      <c r="K72" s="359"/>
      <c r="L72" s="359"/>
      <c r="M72" s="359"/>
      <c r="N72" s="359"/>
    </row>
    <row r="73" spans="1:14" x14ac:dyDescent="0.4">
      <c r="A73" s="2"/>
      <c r="B73" s="49"/>
      <c r="C73" s="49"/>
      <c r="D73" s="49"/>
      <c r="E73" s="49"/>
      <c r="F73" s="49"/>
      <c r="G73" s="13"/>
      <c r="H73" s="13"/>
      <c r="I73" s="13"/>
      <c r="J73" s="13"/>
      <c r="K73" s="13"/>
      <c r="L73" s="13"/>
      <c r="M73" s="13"/>
      <c r="N73" s="13"/>
    </row>
    <row r="74" spans="1:14" ht="32.25" customHeight="1" x14ac:dyDescent="0.4">
      <c r="A74" s="9">
        <v>13</v>
      </c>
      <c r="B74" s="405" t="s">
        <v>66</v>
      </c>
      <c r="C74" s="406"/>
      <c r="D74" s="406"/>
      <c r="E74" s="406"/>
      <c r="F74" s="406"/>
      <c r="G74" s="376"/>
      <c r="H74" s="11"/>
      <c r="I74" s="11"/>
      <c r="J74" s="11"/>
      <c r="K74" s="11"/>
      <c r="L74" s="11"/>
      <c r="M74" s="11"/>
      <c r="N74" s="11"/>
    </row>
    <row r="75" spans="1:14" x14ac:dyDescent="0.4">
      <c r="A75" s="9"/>
      <c r="C75" s="15"/>
      <c r="D75" s="15"/>
      <c r="E75" s="15"/>
      <c r="F75" s="15"/>
      <c r="G75" s="15"/>
      <c r="H75" s="15"/>
      <c r="I75" s="15"/>
      <c r="J75" s="15"/>
      <c r="K75" s="15"/>
      <c r="L75" s="15"/>
      <c r="M75" s="15"/>
      <c r="N75" s="15"/>
    </row>
    <row r="76" spans="1:14" ht="25.65" x14ac:dyDescent="0.4">
      <c r="A76" s="2"/>
      <c r="B76" s="50" t="s">
        <v>67</v>
      </c>
      <c r="C76" s="18" t="s">
        <v>68</v>
      </c>
      <c r="D76" s="18" t="s">
        <v>1127</v>
      </c>
      <c r="E76" s="18" t="s">
        <v>218</v>
      </c>
      <c r="F76" s="18" t="s">
        <v>71</v>
      </c>
      <c r="G76" s="18" t="s">
        <v>107</v>
      </c>
      <c r="H76" s="13"/>
      <c r="I76" s="13"/>
      <c r="J76" s="13"/>
      <c r="K76" s="13"/>
      <c r="L76" s="13"/>
      <c r="M76" s="13"/>
      <c r="N76" s="13"/>
    </row>
    <row r="77" spans="1:14" x14ac:dyDescent="0.35">
      <c r="A77" s="2"/>
      <c r="B77" s="394" t="s">
        <v>1271</v>
      </c>
      <c r="C77" s="3" t="s">
        <v>1161</v>
      </c>
      <c r="D77" s="65">
        <v>3.84</v>
      </c>
      <c r="E77" s="52">
        <v>8.93</v>
      </c>
      <c r="F77" s="435" t="s">
        <v>1071</v>
      </c>
      <c r="G77" s="435" t="s">
        <v>1072</v>
      </c>
      <c r="H77" s="53"/>
      <c r="I77" s="53"/>
      <c r="J77" s="53"/>
      <c r="K77" s="53"/>
      <c r="L77" s="53"/>
      <c r="M77" s="53"/>
      <c r="N77" s="53"/>
    </row>
    <row r="78" spans="1:14" x14ac:dyDescent="0.4">
      <c r="A78" s="2"/>
      <c r="B78" s="394"/>
      <c r="C78" s="3" t="s">
        <v>765</v>
      </c>
      <c r="D78" s="54" t="s">
        <v>1077</v>
      </c>
      <c r="E78" s="52" t="s">
        <v>1077</v>
      </c>
      <c r="F78" s="436"/>
      <c r="G78" s="436"/>
      <c r="H78" s="53"/>
      <c r="I78" s="53"/>
      <c r="J78" s="53"/>
      <c r="K78" s="53"/>
      <c r="L78" s="53"/>
      <c r="M78" s="53"/>
      <c r="N78" s="53"/>
    </row>
    <row r="79" spans="1:14" x14ac:dyDescent="0.4">
      <c r="A79" s="2"/>
      <c r="B79" s="394"/>
      <c r="C79" s="3" t="s">
        <v>74</v>
      </c>
      <c r="D79" s="127">
        <v>0</v>
      </c>
      <c r="E79" s="55">
        <v>0</v>
      </c>
      <c r="F79" s="436"/>
      <c r="G79" s="436"/>
      <c r="H79" s="53"/>
      <c r="I79" s="53"/>
      <c r="J79" s="53"/>
      <c r="K79" s="53"/>
      <c r="L79" s="53"/>
      <c r="M79" s="53"/>
      <c r="N79" s="53"/>
    </row>
    <row r="80" spans="1:14" x14ac:dyDescent="0.35">
      <c r="A80" s="2"/>
      <c r="B80" s="394" t="s">
        <v>75</v>
      </c>
      <c r="C80" s="3" t="s">
        <v>1161</v>
      </c>
      <c r="D80" s="77">
        <v>7.22</v>
      </c>
      <c r="E80" s="55">
        <f>F64/E77</f>
        <v>4.647256438969765</v>
      </c>
      <c r="F80" s="436"/>
      <c r="G80" s="436"/>
      <c r="H80" s="53"/>
      <c r="I80" s="53"/>
      <c r="J80" s="53"/>
      <c r="K80" s="53"/>
      <c r="L80" s="53"/>
      <c r="M80" s="53"/>
      <c r="N80" s="53"/>
    </row>
    <row r="81" spans="1:14" x14ac:dyDescent="0.4">
      <c r="A81" s="2"/>
      <c r="B81" s="394"/>
      <c r="C81" s="3" t="s">
        <v>73</v>
      </c>
      <c r="D81" s="54" t="s">
        <v>1077</v>
      </c>
      <c r="E81" s="52" t="s">
        <v>1077</v>
      </c>
      <c r="F81" s="436"/>
      <c r="G81" s="436"/>
      <c r="H81" s="53"/>
      <c r="I81" s="53"/>
      <c r="J81" s="53"/>
      <c r="K81" s="53"/>
      <c r="L81" s="53"/>
      <c r="M81" s="53"/>
      <c r="N81" s="53"/>
    </row>
    <row r="82" spans="1:14" x14ac:dyDescent="0.4">
      <c r="A82" s="2"/>
      <c r="B82" s="394"/>
      <c r="C82" s="3" t="s">
        <v>74</v>
      </c>
      <c r="D82" s="127">
        <v>0</v>
      </c>
      <c r="E82" s="55">
        <v>0</v>
      </c>
      <c r="F82" s="436"/>
      <c r="G82" s="436"/>
      <c r="H82" s="53"/>
      <c r="I82" s="53"/>
      <c r="J82" s="53"/>
      <c r="K82" s="53"/>
      <c r="L82" s="53"/>
      <c r="M82" s="53"/>
      <c r="N82" s="53"/>
    </row>
    <row r="83" spans="1:14" ht="14.6" x14ac:dyDescent="0.4">
      <c r="A83" s="2"/>
      <c r="B83" s="394" t="s">
        <v>76</v>
      </c>
      <c r="C83" s="3" t="s">
        <v>1161</v>
      </c>
      <c r="D83" s="97">
        <v>0.15240000000000001</v>
      </c>
      <c r="E83" s="149">
        <f>1709.62/7686.9</f>
        <v>0.22240695208731737</v>
      </c>
      <c r="F83" s="436"/>
      <c r="G83" s="436"/>
      <c r="H83" s="53"/>
      <c r="I83"/>
      <c r="J83"/>
      <c r="K83" s="1"/>
      <c r="L83"/>
      <c r="M83"/>
      <c r="N83"/>
    </row>
    <row r="84" spans="1:14" x14ac:dyDescent="0.4">
      <c r="A84" s="2"/>
      <c r="B84" s="394"/>
      <c r="C84" s="3" t="s">
        <v>73</v>
      </c>
      <c r="D84" s="54" t="s">
        <v>1077</v>
      </c>
      <c r="E84" s="52" t="s">
        <v>1077</v>
      </c>
      <c r="F84" s="436"/>
      <c r="G84" s="436"/>
      <c r="H84" s="53"/>
      <c r="I84" s="53"/>
      <c r="J84" s="53"/>
      <c r="K84" s="53"/>
      <c r="L84" s="53"/>
      <c r="M84" s="53"/>
      <c r="N84" s="53"/>
    </row>
    <row r="85" spans="1:14" x14ac:dyDescent="0.4">
      <c r="A85" s="2"/>
      <c r="B85" s="394"/>
      <c r="C85" s="3" t="s">
        <v>74</v>
      </c>
      <c r="D85" s="196">
        <v>0</v>
      </c>
      <c r="E85" s="55">
        <v>0</v>
      </c>
      <c r="F85" s="436"/>
      <c r="G85" s="436"/>
      <c r="H85" s="53"/>
      <c r="I85" s="53"/>
      <c r="J85" s="53"/>
      <c r="K85" s="53"/>
      <c r="L85" s="53"/>
      <c r="M85" s="53"/>
      <c r="N85" s="53"/>
    </row>
    <row r="86" spans="1:14" x14ac:dyDescent="0.35">
      <c r="A86" s="2"/>
      <c r="B86" s="394" t="s">
        <v>77</v>
      </c>
      <c r="C86" s="3" t="s">
        <v>1161</v>
      </c>
      <c r="D86" s="65">
        <v>25.18</v>
      </c>
      <c r="E86" s="55">
        <f>7686.9/241.34</f>
        <v>31.850915720560202</v>
      </c>
      <c r="F86" s="436"/>
      <c r="G86" s="436"/>
      <c r="H86" s="53"/>
      <c r="I86" s="53"/>
      <c r="J86" s="53"/>
      <c r="K86" s="53"/>
      <c r="L86" s="53"/>
      <c r="M86" s="53"/>
      <c r="N86" s="53"/>
    </row>
    <row r="87" spans="1:14" x14ac:dyDescent="0.4">
      <c r="A87" s="2"/>
      <c r="B87" s="394"/>
      <c r="C87" s="3" t="s">
        <v>73</v>
      </c>
      <c r="D87" s="54" t="s">
        <v>1077</v>
      </c>
      <c r="E87" s="52" t="s">
        <v>1077</v>
      </c>
      <c r="F87" s="436"/>
      <c r="G87" s="436"/>
      <c r="H87" s="53"/>
      <c r="I87" s="53"/>
      <c r="J87" s="53"/>
      <c r="L87" s="53"/>
      <c r="M87" s="53"/>
      <c r="N87" s="53"/>
    </row>
    <row r="88" spans="1:14" x14ac:dyDescent="0.4">
      <c r="A88" s="2"/>
      <c r="B88" s="411"/>
      <c r="C88" s="3" t="s">
        <v>74</v>
      </c>
      <c r="D88" s="127">
        <v>0</v>
      </c>
      <c r="E88" s="55">
        <v>0</v>
      </c>
      <c r="F88" s="436"/>
      <c r="G88" s="436"/>
      <c r="H88" s="53"/>
      <c r="I88" s="53"/>
      <c r="J88" s="53"/>
      <c r="L88" s="53"/>
      <c r="M88" s="53"/>
      <c r="N88" s="53"/>
    </row>
    <row r="89" spans="1:14" s="1" customFormat="1" x14ac:dyDescent="0.4">
      <c r="B89" s="412"/>
      <c r="C89" s="413"/>
      <c r="D89" s="413"/>
      <c r="E89" s="413"/>
      <c r="F89" s="413"/>
      <c r="G89" s="414"/>
      <c r="K89" s="8"/>
    </row>
    <row r="90" spans="1:14" x14ac:dyDescent="0.4">
      <c r="A90" s="2"/>
      <c r="B90" s="415" t="s">
        <v>1160</v>
      </c>
      <c r="C90" s="416"/>
      <c r="D90" s="416"/>
      <c r="E90" s="416"/>
      <c r="F90" s="416"/>
      <c r="G90" s="417"/>
      <c r="H90" s="53"/>
      <c r="I90" s="53"/>
      <c r="J90" s="53"/>
      <c r="L90" s="53"/>
      <c r="M90" s="53"/>
      <c r="N90" s="53"/>
    </row>
    <row r="91" spans="1:14" x14ac:dyDescent="0.4">
      <c r="A91" s="2"/>
      <c r="B91" s="418" t="s">
        <v>989</v>
      </c>
      <c r="C91" s="419"/>
      <c r="D91" s="419"/>
      <c r="E91" s="419"/>
      <c r="F91" s="419"/>
      <c r="G91" s="420"/>
      <c r="H91" s="53"/>
      <c r="I91" s="53"/>
      <c r="J91" s="53"/>
      <c r="L91" s="53"/>
      <c r="M91" s="53"/>
      <c r="N91" s="53"/>
    </row>
    <row r="92" spans="1:14" x14ac:dyDescent="0.4">
      <c r="A92" s="2"/>
      <c r="B92" s="363"/>
      <c r="C92" s="368"/>
      <c r="D92" s="368"/>
      <c r="E92" s="368"/>
      <c r="F92" s="368"/>
      <c r="G92" s="369"/>
      <c r="H92" s="53"/>
      <c r="I92" s="53"/>
      <c r="J92" s="53"/>
      <c r="L92" s="53"/>
      <c r="M92" s="53"/>
      <c r="N92" s="53"/>
    </row>
    <row r="93" spans="1:14" x14ac:dyDescent="0.4">
      <c r="C93" s="407"/>
      <c r="D93" s="407"/>
      <c r="E93" s="407"/>
      <c r="F93" s="407"/>
      <c r="G93" s="407"/>
      <c r="H93" s="53"/>
      <c r="I93" s="53"/>
    </row>
    <row r="94" spans="1:14" x14ac:dyDescent="0.4">
      <c r="A94" s="9">
        <v>14</v>
      </c>
      <c r="B94" s="61" t="s">
        <v>78</v>
      </c>
      <c r="C94" s="448" t="s">
        <v>41</v>
      </c>
      <c r="D94" s="449"/>
      <c r="E94" s="449"/>
      <c r="F94" s="449"/>
      <c r="G94" s="450"/>
    </row>
    <row r="95" spans="1:14" x14ac:dyDescent="0.4">
      <c r="C95" s="69"/>
      <c r="D95" s="69"/>
      <c r="E95" s="69"/>
      <c r="F95" s="69"/>
      <c r="G95" s="69"/>
    </row>
    <row r="97" spans="2:8" ht="12.7" customHeight="1" x14ac:dyDescent="0.4">
      <c r="B97" s="548" t="s">
        <v>1162</v>
      </c>
      <c r="C97" s="549"/>
      <c r="D97" s="549"/>
      <c r="E97" s="549"/>
      <c r="F97" s="549"/>
      <c r="G97" s="549"/>
      <c r="H97" s="295"/>
    </row>
    <row r="99" spans="2:8" ht="25.55" customHeight="1" x14ac:dyDescent="0.4">
      <c r="B99" s="497" t="s">
        <v>1232</v>
      </c>
      <c r="C99" s="497"/>
      <c r="D99" s="497"/>
      <c r="E99" s="497"/>
      <c r="F99" s="497"/>
      <c r="G99" s="497"/>
    </row>
    <row r="102" spans="2:8" x14ac:dyDescent="0.4">
      <c r="D102" s="107"/>
      <c r="E102" s="107"/>
    </row>
    <row r="103" spans="2:8" x14ac:dyDescent="0.4">
      <c r="E103" s="107"/>
    </row>
    <row r="104" spans="2:8" x14ac:dyDescent="0.4">
      <c r="C104" s="230"/>
    </row>
    <row r="106" spans="2:8" x14ac:dyDescent="0.4">
      <c r="C106" s="230"/>
    </row>
  </sheetData>
  <sheetProtection algorithmName="SHA-512" hashValue="R9QNbI0FhDJQYIVl0HjjDdMYBe7DmdIs0XRtMMle3+bvdWuW8NMoqgoQqrvcYUdLk83JGkmqFA1yeGbzv1uGQA==" saltValue="pcEpD9jB2xPSx0NlczMVtQ==" spinCount="100000" sheet="1" objects="1" scenarios="1"/>
  <mergeCells count="68">
    <mergeCell ref="C93:G93"/>
    <mergeCell ref="C94:G94"/>
    <mergeCell ref="B83:B85"/>
    <mergeCell ref="B86:B88"/>
    <mergeCell ref="B89:G89"/>
    <mergeCell ref="B90:G90"/>
    <mergeCell ref="B91:G91"/>
    <mergeCell ref="B92:G92"/>
    <mergeCell ref="B77:B79"/>
    <mergeCell ref="F77:F88"/>
    <mergeCell ref="G77:G88"/>
    <mergeCell ref="B80:B82"/>
    <mergeCell ref="B69:N69"/>
    <mergeCell ref="B70:N70"/>
    <mergeCell ref="B71:N71"/>
    <mergeCell ref="B72:N72"/>
    <mergeCell ref="B74:G74"/>
    <mergeCell ref="B68:N68"/>
    <mergeCell ref="C52:E52"/>
    <mergeCell ref="C53:E53"/>
    <mergeCell ref="B54:E54"/>
    <mergeCell ref="C56:E56"/>
    <mergeCell ref="B62:B63"/>
    <mergeCell ref="C62:C63"/>
    <mergeCell ref="D62:D63"/>
    <mergeCell ref="E62:E63"/>
    <mergeCell ref="F62:H62"/>
    <mergeCell ref="I62:K62"/>
    <mergeCell ref="L62:N62"/>
    <mergeCell ref="C66:N66"/>
    <mergeCell ref="B67:N67"/>
    <mergeCell ref="C60:E60"/>
    <mergeCell ref="B12:E12"/>
    <mergeCell ref="C14:E14"/>
    <mergeCell ref="B50:B51"/>
    <mergeCell ref="C50:E51"/>
    <mergeCell ref="B32:E32"/>
    <mergeCell ref="B34:E34"/>
    <mergeCell ref="B40:E40"/>
    <mergeCell ref="C41:E41"/>
    <mergeCell ref="C42:E42"/>
    <mergeCell ref="C43:E43"/>
    <mergeCell ref="B44:E44"/>
    <mergeCell ref="B45:E45"/>
    <mergeCell ref="B49:E49"/>
    <mergeCell ref="C11:E11"/>
    <mergeCell ref="A1:B1"/>
    <mergeCell ref="C3:E3"/>
    <mergeCell ref="C5:E5"/>
    <mergeCell ref="B6:E6"/>
    <mergeCell ref="C8:E8"/>
    <mergeCell ref="B9:E9"/>
    <mergeCell ref="B99:G99"/>
    <mergeCell ref="B97:G97"/>
    <mergeCell ref="B15:E15"/>
    <mergeCell ref="C35:E35"/>
    <mergeCell ref="C36:E36"/>
    <mergeCell ref="C37:E37"/>
    <mergeCell ref="D28:D31"/>
    <mergeCell ref="E28:E31"/>
    <mergeCell ref="B17:E17"/>
    <mergeCell ref="C18:E18"/>
    <mergeCell ref="C19:E19"/>
    <mergeCell ref="C20:E20"/>
    <mergeCell ref="C21:E21"/>
    <mergeCell ref="C22:E22"/>
    <mergeCell ref="B25:E25"/>
    <mergeCell ref="B26:E26"/>
  </mergeCells>
  <pageMargins left="0" right="0" top="0.42499999999999999" bottom="0.75" header="0.10625" footer="0.3"/>
  <pageSetup paperSize="5" scale="78" orientation="landscape" verticalDpi="300" r:id="rId1"/>
  <rowBreaks count="2" manualBreakCount="2">
    <brk id="44" max="16383" man="1"/>
    <brk id="72"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N105"/>
  <sheetViews>
    <sheetView tabSelected="1" view="pageBreakPreview" zoomScale="60" zoomScaleNormal="93" zoomScalePageLayoutView="50" workbookViewId="0">
      <selection activeCell="B6" sqref="B6:E6"/>
    </sheetView>
  </sheetViews>
  <sheetFormatPr defaultColWidth="8.84375" defaultRowHeight="13.25" x14ac:dyDescent="0.4"/>
  <cols>
    <col min="1" max="1" width="8.84375" style="8"/>
    <col min="2" max="2" width="40.84375" style="8" customWidth="1"/>
    <col min="3" max="3" width="31.3046875" style="8" customWidth="1"/>
    <col min="4" max="4" width="29.69140625" style="8" customWidth="1"/>
    <col min="5" max="5" width="22.3046875" style="8" customWidth="1"/>
    <col min="6" max="6" width="11.3046875" style="8" customWidth="1"/>
    <col min="7" max="7" width="12.69140625" style="8" customWidth="1"/>
    <col min="8" max="8" width="10.69140625" style="8" bestFit="1" customWidth="1"/>
    <col min="9" max="9" width="10.07421875" style="8" bestFit="1" customWidth="1"/>
    <col min="10" max="16384" width="8.84375" style="8"/>
  </cols>
  <sheetData>
    <row r="1" spans="1:8" x14ac:dyDescent="0.4">
      <c r="A1" s="355" t="s">
        <v>0</v>
      </c>
      <c r="B1" s="355"/>
      <c r="D1" s="1"/>
    </row>
    <row r="3" spans="1:8" ht="16.45" customHeight="1" x14ac:dyDescent="0.4">
      <c r="A3" s="2" t="s">
        <v>1</v>
      </c>
      <c r="B3" s="3" t="s">
        <v>2</v>
      </c>
      <c r="C3" s="515" t="s">
        <v>1163</v>
      </c>
      <c r="D3" s="515"/>
      <c r="E3" s="515"/>
    </row>
    <row r="4" spans="1:8" x14ac:dyDescent="0.4">
      <c r="D4" s="5"/>
    </row>
    <row r="5" spans="1:8" x14ac:dyDescent="0.4">
      <c r="A5" s="36">
        <v>1</v>
      </c>
      <c r="B5" s="3" t="s">
        <v>3</v>
      </c>
      <c r="C5" s="497" t="s">
        <v>702</v>
      </c>
      <c r="D5" s="497"/>
      <c r="E5" s="497"/>
    </row>
    <row r="6" spans="1:8" x14ac:dyDescent="0.4">
      <c r="A6" s="9"/>
      <c r="B6" s="480" t="s">
        <v>5</v>
      </c>
      <c r="C6" s="480"/>
      <c r="D6" s="480"/>
      <c r="E6" s="480"/>
    </row>
    <row r="7" spans="1:8" x14ac:dyDescent="0.4">
      <c r="A7" s="9"/>
      <c r="B7" s="11"/>
      <c r="D7" s="5"/>
    </row>
    <row r="8" spans="1:8" x14ac:dyDescent="0.4">
      <c r="A8" s="9">
        <v>2</v>
      </c>
      <c r="B8" s="3" t="s">
        <v>6</v>
      </c>
      <c r="C8" s="497" t="s">
        <v>1164</v>
      </c>
      <c r="D8" s="497"/>
      <c r="E8" s="497"/>
    </row>
    <row r="9" spans="1:8" x14ac:dyDescent="0.4">
      <c r="A9" s="9"/>
      <c r="B9" s="363" t="s">
        <v>5</v>
      </c>
      <c r="C9" s="368"/>
      <c r="D9" s="368"/>
      <c r="E9" s="369"/>
    </row>
    <row r="10" spans="1:8" x14ac:dyDescent="0.4">
      <c r="A10" s="9"/>
      <c r="B10" s="11"/>
      <c r="D10" s="5"/>
    </row>
    <row r="11" spans="1:8" x14ac:dyDescent="0.4">
      <c r="A11" s="9">
        <v>3</v>
      </c>
      <c r="B11" s="3" t="s">
        <v>7</v>
      </c>
      <c r="C11" s="458" t="s">
        <v>1109</v>
      </c>
      <c r="D11" s="458"/>
      <c r="E11" s="458"/>
    </row>
    <row r="12" spans="1:8" x14ac:dyDescent="0.4">
      <c r="A12" s="9"/>
      <c r="B12" s="480" t="s">
        <v>5</v>
      </c>
      <c r="C12" s="480"/>
      <c r="D12" s="480"/>
      <c r="E12" s="480"/>
    </row>
    <row r="13" spans="1:8" x14ac:dyDescent="0.4">
      <c r="A13" s="9"/>
      <c r="B13" s="11"/>
      <c r="D13" s="5"/>
    </row>
    <row r="14" spans="1:8" x14ac:dyDescent="0.4">
      <c r="A14" s="9">
        <v>4</v>
      </c>
      <c r="B14" s="3" t="s">
        <v>9</v>
      </c>
      <c r="C14" s="497" t="s">
        <v>1176</v>
      </c>
      <c r="D14" s="497"/>
      <c r="E14" s="497"/>
    </row>
    <row r="15" spans="1:8" ht="13.5" customHeight="1" x14ac:dyDescent="0.4">
      <c r="A15" s="9"/>
      <c r="B15" s="480" t="s">
        <v>10</v>
      </c>
      <c r="C15" s="480"/>
      <c r="D15" s="480"/>
      <c r="E15" s="480"/>
    </row>
    <row r="16" spans="1:8" x14ac:dyDescent="0.4">
      <c r="A16" s="9"/>
      <c r="D16" s="5"/>
      <c r="H16" s="8" t="s">
        <v>693</v>
      </c>
    </row>
    <row r="17" spans="1:14" x14ac:dyDescent="0.4">
      <c r="A17" s="9">
        <v>5</v>
      </c>
      <c r="B17" s="365" t="s">
        <v>1082</v>
      </c>
      <c r="C17" s="366"/>
      <c r="D17" s="366"/>
      <c r="E17" s="366"/>
      <c r="F17" s="11"/>
      <c r="G17" s="11" t="s">
        <v>693</v>
      </c>
      <c r="H17" s="11"/>
      <c r="I17" s="11"/>
      <c r="J17" s="13"/>
      <c r="K17" s="13"/>
      <c r="L17" s="13"/>
      <c r="M17" s="13"/>
      <c r="N17" s="13"/>
    </row>
    <row r="18" spans="1:14" x14ac:dyDescent="0.4">
      <c r="A18" s="9"/>
      <c r="B18" s="14" t="s">
        <v>12</v>
      </c>
      <c r="C18" s="367">
        <v>0.35610000000000003</v>
      </c>
      <c r="D18" s="367"/>
      <c r="E18" s="367"/>
      <c r="F18" s="15"/>
      <c r="G18" s="13"/>
      <c r="H18" s="13"/>
      <c r="I18" s="13"/>
      <c r="J18" s="13"/>
      <c r="K18" s="13"/>
      <c r="L18" s="13"/>
      <c r="M18" s="13"/>
      <c r="N18" s="13"/>
    </row>
    <row r="19" spans="1:14" ht="25.65" x14ac:dyDescent="0.4">
      <c r="A19" s="9"/>
      <c r="B19" s="14" t="s">
        <v>1079</v>
      </c>
      <c r="C19" s="605" t="s">
        <v>560</v>
      </c>
      <c r="D19" s="606"/>
      <c r="E19" s="607"/>
      <c r="F19" s="15"/>
      <c r="G19" s="13"/>
      <c r="I19" s="13"/>
      <c r="J19" s="13"/>
      <c r="K19" s="13"/>
      <c r="L19" s="13"/>
      <c r="M19" s="13"/>
      <c r="N19" s="13"/>
    </row>
    <row r="20" spans="1:14" x14ac:dyDescent="0.4">
      <c r="A20" s="9"/>
      <c r="B20" s="16" t="s">
        <v>605</v>
      </c>
      <c r="C20" s="447" t="s">
        <v>560</v>
      </c>
      <c r="D20" s="447"/>
      <c r="E20" s="447"/>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x14ac:dyDescent="0.4">
      <c r="A28" s="9"/>
      <c r="B28" s="19" t="s">
        <v>1272</v>
      </c>
      <c r="C28" s="21">
        <v>9181.18</v>
      </c>
      <c r="D28" s="540" t="s">
        <v>264</v>
      </c>
      <c r="E28" s="540" t="s">
        <v>203</v>
      </c>
      <c r="F28" s="15"/>
    </row>
    <row r="29" spans="1:14" x14ac:dyDescent="0.4">
      <c r="A29" s="9"/>
      <c r="B29" s="19" t="s">
        <v>25</v>
      </c>
      <c r="C29" s="21">
        <v>750.95</v>
      </c>
      <c r="D29" s="541"/>
      <c r="E29" s="541"/>
      <c r="F29" s="15"/>
    </row>
    <row r="30" spans="1:14" x14ac:dyDescent="0.4">
      <c r="A30" s="9"/>
      <c r="B30" s="19" t="s">
        <v>26</v>
      </c>
      <c r="C30" s="120">
        <v>1224</v>
      </c>
      <c r="D30" s="541"/>
      <c r="E30" s="541"/>
      <c r="F30" s="15"/>
    </row>
    <row r="31" spans="1:14" x14ac:dyDescent="0.4">
      <c r="A31" s="9"/>
      <c r="B31" s="19" t="s">
        <v>27</v>
      </c>
      <c r="C31" s="21">
        <v>2339.7199999999998</v>
      </c>
      <c r="D31" s="542"/>
      <c r="E31" s="542"/>
      <c r="F31" s="15"/>
    </row>
    <row r="32" spans="1:14" x14ac:dyDescent="0.4">
      <c r="A32" s="9"/>
      <c r="B32" s="13"/>
      <c r="C32" s="15"/>
      <c r="D32" s="15"/>
      <c r="E32" s="15"/>
      <c r="F32" s="15"/>
    </row>
    <row r="33" spans="1:10" x14ac:dyDescent="0.4">
      <c r="A33" s="9">
        <v>7</v>
      </c>
      <c r="B33" s="365" t="s">
        <v>28</v>
      </c>
      <c r="C33" s="365"/>
      <c r="D33" s="365"/>
      <c r="E33" s="365"/>
      <c r="F33" s="11"/>
      <c r="G33" s="11"/>
      <c r="H33" s="11"/>
      <c r="I33" s="11"/>
      <c r="J33" s="11"/>
    </row>
    <row r="34" spans="1:10" x14ac:dyDescent="0.4">
      <c r="A34" s="9"/>
      <c r="B34" s="17" t="s">
        <v>29</v>
      </c>
      <c r="C34" s="446" t="s">
        <v>1180</v>
      </c>
      <c r="D34" s="446"/>
      <c r="E34" s="446"/>
      <c r="F34" s="13"/>
    </row>
    <row r="35" spans="1:10" x14ac:dyDescent="0.4">
      <c r="A35" s="9"/>
      <c r="B35" s="17" t="s">
        <v>31</v>
      </c>
      <c r="C35" s="446" t="s">
        <v>320</v>
      </c>
      <c r="D35" s="446"/>
      <c r="E35" s="446"/>
      <c r="F35" s="13"/>
    </row>
    <row r="36" spans="1:10" x14ac:dyDescent="0.4">
      <c r="A36" s="9"/>
      <c r="B36" s="17" t="s">
        <v>32</v>
      </c>
      <c r="C36" s="446" t="s">
        <v>201</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373" t="s">
        <v>937</v>
      </c>
      <c r="D40" s="374"/>
      <c r="E40" s="375"/>
      <c r="F40" s="13"/>
    </row>
    <row r="41" spans="1:10" ht="15.05" x14ac:dyDescent="0.45">
      <c r="A41" s="9"/>
      <c r="B41" s="17" t="s">
        <v>31</v>
      </c>
      <c r="C41" s="446" t="s">
        <v>320</v>
      </c>
      <c r="D41" s="446"/>
      <c r="E41" s="446"/>
      <c r="F41" s="182"/>
      <c r="I41" s="182"/>
    </row>
    <row r="42" spans="1:10" x14ac:dyDescent="0.4">
      <c r="A42" s="9"/>
      <c r="B42" s="17" t="s">
        <v>32</v>
      </c>
      <c r="C42" s="446" t="s">
        <v>201</v>
      </c>
      <c r="D42" s="446"/>
      <c r="E42" s="446"/>
      <c r="F42" s="13"/>
      <c r="G42" s="8" t="s">
        <v>693</v>
      </c>
    </row>
    <row r="43" spans="1:10" x14ac:dyDescent="0.4">
      <c r="A43" s="9"/>
      <c r="B43" s="363" t="s">
        <v>1034</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25.65" x14ac:dyDescent="0.4">
      <c r="A46" s="24"/>
      <c r="B46" s="26" t="s">
        <v>37</v>
      </c>
      <c r="C46" s="27" t="s">
        <v>38</v>
      </c>
      <c r="D46" s="28" t="s">
        <v>39</v>
      </c>
      <c r="E46" s="27" t="s">
        <v>206</v>
      </c>
    </row>
    <row r="47" spans="1:10" ht="106.05" x14ac:dyDescent="0.4">
      <c r="A47" s="29"/>
      <c r="B47" s="30" t="s">
        <v>1008</v>
      </c>
      <c r="C47" s="30" t="s">
        <v>1165</v>
      </c>
      <c r="D47" s="30" t="s">
        <v>1257</v>
      </c>
      <c r="E47" s="117" t="s">
        <v>186</v>
      </c>
    </row>
    <row r="48" spans="1:10" x14ac:dyDescent="0.4">
      <c r="A48" s="31"/>
      <c r="B48" s="380" t="s">
        <v>1166</v>
      </c>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t="s">
        <v>693</v>
      </c>
      <c r="H50" s="15"/>
    </row>
    <row r="51" spans="1:14" x14ac:dyDescent="0.4">
      <c r="A51" s="29"/>
      <c r="B51" s="452" t="s">
        <v>43</v>
      </c>
      <c r="C51" s="617" t="s">
        <v>1167</v>
      </c>
      <c r="D51" s="618"/>
      <c r="E51" s="619"/>
      <c r="K51" s="1"/>
    </row>
    <row r="52" spans="1:14" ht="49.5" customHeight="1" x14ac:dyDescent="0.4">
      <c r="A52" s="29"/>
      <c r="B52" s="453"/>
      <c r="C52" s="620"/>
      <c r="D52" s="621"/>
      <c r="E52" s="622"/>
      <c r="H52" s="230"/>
      <c r="K52" s="1"/>
    </row>
    <row r="53" spans="1:14" ht="54" customHeight="1" x14ac:dyDescent="0.4">
      <c r="A53" s="24"/>
      <c r="B53" s="33" t="s">
        <v>44</v>
      </c>
      <c r="C53" s="391" t="s">
        <v>1259</v>
      </c>
      <c r="D53" s="391"/>
      <c r="E53" s="391"/>
      <c r="H53" s="230"/>
    </row>
    <row r="54" spans="1:14" x14ac:dyDescent="0.4">
      <c r="A54" s="29"/>
      <c r="B54" s="33" t="s">
        <v>45</v>
      </c>
      <c r="C54" s="471" t="s">
        <v>1258</v>
      </c>
      <c r="D54" s="472"/>
      <c r="E54" s="473"/>
      <c r="K54" s="34"/>
    </row>
    <row r="55" spans="1:14" x14ac:dyDescent="0.4">
      <c r="A55" s="29"/>
      <c r="B55" s="380" t="s">
        <v>1169</v>
      </c>
      <c r="C55" s="381"/>
      <c r="D55" s="381"/>
      <c r="E55" s="382"/>
      <c r="G55" s="8" t="s">
        <v>693</v>
      </c>
      <c r="H55" s="230"/>
      <c r="K55" s="34"/>
    </row>
    <row r="56" spans="1:14" s="63" customFormat="1" x14ac:dyDescent="0.35">
      <c r="A56" s="35" t="s">
        <v>47</v>
      </c>
      <c r="B56" s="392" t="s">
        <v>48</v>
      </c>
      <c r="C56" s="392"/>
      <c r="D56" s="392"/>
      <c r="E56" s="392"/>
    </row>
    <row r="57" spans="1:14" x14ac:dyDescent="0.4">
      <c r="A57" s="40"/>
      <c r="B57" s="41"/>
      <c r="C57" s="42"/>
      <c r="D57" s="42"/>
      <c r="E57" s="42"/>
      <c r="F57" s="42"/>
    </row>
    <row r="58" spans="1:14" x14ac:dyDescent="0.4">
      <c r="A58" s="9">
        <v>11</v>
      </c>
      <c r="B58" s="3" t="s">
        <v>49</v>
      </c>
      <c r="C58" s="393" t="s">
        <v>1031</v>
      </c>
      <c r="D58" s="393"/>
      <c r="E58" s="393"/>
      <c r="F58" s="11"/>
      <c r="G58" s="11"/>
      <c r="H58" s="43"/>
      <c r="I58" s="282"/>
      <c r="J58" s="11"/>
    </row>
    <row r="59" spans="1:14" x14ac:dyDescent="0.4">
      <c r="A59" s="9"/>
      <c r="B59" s="15"/>
      <c r="C59" s="15"/>
      <c r="D59" s="15"/>
      <c r="E59" s="15"/>
      <c r="F59" s="15"/>
      <c r="G59" s="15"/>
      <c r="H59" s="44"/>
      <c r="I59" s="44"/>
      <c r="J59" s="15"/>
    </row>
    <row r="60" spans="1:14" x14ac:dyDescent="0.4">
      <c r="A60" s="9">
        <v>12</v>
      </c>
      <c r="B60" s="11" t="s">
        <v>51</v>
      </c>
      <c r="C60" s="11"/>
      <c r="D60" s="11"/>
      <c r="E60" s="43"/>
      <c r="F60" s="43"/>
      <c r="G60" s="282"/>
      <c r="H60" s="11"/>
      <c r="I60" s="11"/>
      <c r="J60" s="11"/>
      <c r="K60" s="11"/>
      <c r="L60" s="11"/>
      <c r="M60" s="11"/>
      <c r="N60" s="11"/>
    </row>
    <row r="61" spans="1:14" x14ac:dyDescent="0.4">
      <c r="A61" s="9"/>
      <c r="B61" s="11"/>
      <c r="C61" s="11"/>
      <c r="D61" s="11"/>
      <c r="E61" s="43"/>
      <c r="F61" s="43"/>
      <c r="G61" s="43"/>
      <c r="H61" s="11"/>
      <c r="I61" s="11"/>
      <c r="J61" s="11"/>
      <c r="K61" s="11"/>
      <c r="L61" s="11"/>
      <c r="M61" s="11"/>
      <c r="N61" s="11"/>
    </row>
    <row r="62" spans="1:14" x14ac:dyDescent="0.4">
      <c r="A62" s="9"/>
      <c r="B62" s="17" t="s">
        <v>52</v>
      </c>
      <c r="C62" s="446" t="s">
        <v>777</v>
      </c>
      <c r="D62" s="446"/>
      <c r="E62" s="446"/>
      <c r="F62" s="44"/>
      <c r="G62" s="44"/>
      <c r="H62" s="15"/>
      <c r="I62" s="15"/>
      <c r="J62" s="15"/>
      <c r="K62" s="15"/>
      <c r="L62" s="15"/>
      <c r="M62" s="15"/>
      <c r="N62" s="15"/>
    </row>
    <row r="63" spans="1:14" x14ac:dyDescent="0.4">
      <c r="A63" s="9"/>
      <c r="B63" s="15"/>
      <c r="C63" s="15"/>
      <c r="D63" s="118"/>
      <c r="E63" s="118"/>
      <c r="F63" s="15"/>
      <c r="G63" s="15"/>
      <c r="H63" s="15"/>
      <c r="I63" s="15"/>
      <c r="J63" s="15"/>
      <c r="K63" s="15"/>
      <c r="L63" s="15"/>
      <c r="M63" s="15"/>
      <c r="N63" s="15"/>
    </row>
    <row r="64" spans="1:14" x14ac:dyDescent="0.4">
      <c r="A64" s="9"/>
      <c r="B64" s="365" t="s">
        <v>53</v>
      </c>
      <c r="C64" s="366" t="s">
        <v>1168</v>
      </c>
      <c r="D64" s="366" t="s">
        <v>1235</v>
      </c>
      <c r="E64" s="403" t="s">
        <v>1236</v>
      </c>
      <c r="F64" s="395" t="s">
        <v>626</v>
      </c>
      <c r="G64" s="396"/>
      <c r="H64" s="397"/>
      <c r="I64" s="398" t="s">
        <v>55</v>
      </c>
      <c r="J64" s="398"/>
      <c r="K64" s="398"/>
      <c r="L64" s="398" t="s">
        <v>56</v>
      </c>
      <c r="M64" s="398"/>
      <c r="N64" s="398"/>
    </row>
    <row r="65" spans="1:14" ht="38.450000000000003" x14ac:dyDescent="0.4">
      <c r="A65" s="2"/>
      <c r="B65" s="365"/>
      <c r="C65" s="402"/>
      <c r="D65" s="402"/>
      <c r="E65" s="404"/>
      <c r="F65" s="17" t="s">
        <v>1222</v>
      </c>
      <c r="G65" s="17" t="s">
        <v>58</v>
      </c>
      <c r="H65" s="17" t="s">
        <v>59</v>
      </c>
      <c r="I65" s="17" t="s">
        <v>60</v>
      </c>
      <c r="J65" s="17" t="s">
        <v>58</v>
      </c>
      <c r="K65" s="17" t="s">
        <v>59</v>
      </c>
      <c r="L65" s="17" t="s">
        <v>60</v>
      </c>
      <c r="M65" s="17" t="s">
        <v>58</v>
      </c>
      <c r="N65" s="17" t="s">
        <v>59</v>
      </c>
    </row>
    <row r="66" spans="1:14" x14ac:dyDescent="0.35">
      <c r="A66" s="2"/>
      <c r="B66" s="17" t="s">
        <v>61</v>
      </c>
      <c r="C66" s="284">
        <v>57.75</v>
      </c>
      <c r="D66" s="101">
        <v>49</v>
      </c>
      <c r="E66" s="101">
        <v>58.33</v>
      </c>
      <c r="F66" s="283">
        <v>46.4</v>
      </c>
      <c r="G66" s="101">
        <v>66.75</v>
      </c>
      <c r="H66" s="101">
        <v>40.61</v>
      </c>
      <c r="I66" s="101" t="s">
        <v>41</v>
      </c>
      <c r="J66" s="101" t="s">
        <v>41</v>
      </c>
      <c r="K66" s="101" t="s">
        <v>41</v>
      </c>
      <c r="L66" s="101" t="s">
        <v>41</v>
      </c>
      <c r="M66" s="101" t="s">
        <v>41</v>
      </c>
      <c r="N66" s="101" t="s">
        <v>41</v>
      </c>
    </row>
    <row r="67" spans="1:14" ht="25.65" x14ac:dyDescent="0.4">
      <c r="A67" s="2"/>
      <c r="B67" s="17" t="s">
        <v>216</v>
      </c>
      <c r="C67" s="284">
        <v>60663.79</v>
      </c>
      <c r="D67" s="285">
        <v>59806.28</v>
      </c>
      <c r="E67" s="285">
        <v>61764.25</v>
      </c>
      <c r="F67" s="285">
        <v>58991.519999999997</v>
      </c>
      <c r="G67" s="101">
        <v>61682.25</v>
      </c>
      <c r="H67" s="101">
        <v>57084.91</v>
      </c>
      <c r="I67" s="101" t="s">
        <v>41</v>
      </c>
      <c r="J67" s="101" t="s">
        <v>41</v>
      </c>
      <c r="K67" s="101" t="s">
        <v>41</v>
      </c>
      <c r="L67" s="101" t="s">
        <v>41</v>
      </c>
      <c r="M67" s="101" t="s">
        <v>41</v>
      </c>
      <c r="N67" s="101" t="s">
        <v>41</v>
      </c>
    </row>
    <row r="68" spans="1:14" x14ac:dyDescent="0.4">
      <c r="A68" s="2"/>
      <c r="B68" s="17" t="s">
        <v>1087</v>
      </c>
      <c r="C68" s="546" t="s">
        <v>83</v>
      </c>
      <c r="D68" s="546"/>
      <c r="E68" s="546"/>
      <c r="F68" s="546"/>
      <c r="G68" s="546"/>
      <c r="H68" s="546"/>
      <c r="I68" s="546"/>
      <c r="J68" s="546"/>
      <c r="K68" s="546"/>
      <c r="L68" s="546"/>
      <c r="M68" s="546"/>
      <c r="N68" s="546"/>
    </row>
    <row r="69" spans="1:14" x14ac:dyDescent="0.4">
      <c r="A69" s="2"/>
      <c r="B69" s="399" t="s">
        <v>1179</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s="1" customFormat="1" x14ac:dyDescent="0.4">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f>750.95</f>
        <v>750.95</v>
      </c>
      <c r="C74" s="359"/>
      <c r="D74" s="359"/>
      <c r="E74" s="359"/>
      <c r="F74" s="359"/>
      <c r="G74" s="359"/>
      <c r="H74" s="359"/>
      <c r="I74" s="359"/>
      <c r="J74" s="359"/>
      <c r="K74" s="359"/>
      <c r="L74" s="359"/>
      <c r="M74" s="359"/>
      <c r="N74" s="359"/>
    </row>
    <row r="75" spans="1:14" x14ac:dyDescent="0.4">
      <c r="A75" s="2"/>
      <c r="B75" s="49"/>
      <c r="C75" s="49"/>
      <c r="D75" s="49"/>
      <c r="E75" s="49"/>
      <c r="F75" s="49"/>
      <c r="G75" s="13"/>
      <c r="H75" s="13"/>
      <c r="I75" s="13"/>
      <c r="J75" s="13"/>
      <c r="K75" s="13"/>
      <c r="L75" s="13"/>
      <c r="M75" s="13"/>
      <c r="N75" s="13"/>
    </row>
    <row r="76" spans="1:14" ht="28.5" customHeight="1" x14ac:dyDescent="0.4">
      <c r="A76" s="9">
        <v>13</v>
      </c>
      <c r="B76" s="405" t="s">
        <v>66</v>
      </c>
      <c r="C76" s="406"/>
      <c r="D76" s="406"/>
      <c r="E76" s="406"/>
      <c r="F76" s="406"/>
      <c r="G76" s="376"/>
      <c r="H76" s="11"/>
      <c r="I76" s="11"/>
      <c r="J76" s="11"/>
      <c r="K76" s="11"/>
      <c r="L76" s="11"/>
      <c r="M76" s="11"/>
      <c r="N76" s="11"/>
    </row>
    <row r="77" spans="1:14" x14ac:dyDescent="0.4">
      <c r="A77" s="9"/>
      <c r="C77" s="15"/>
      <c r="D77" s="15"/>
      <c r="E77" s="15"/>
      <c r="F77" s="15"/>
      <c r="G77" s="15"/>
      <c r="H77" s="15"/>
      <c r="I77" s="15"/>
      <c r="J77" s="15"/>
      <c r="K77" s="15"/>
      <c r="L77" s="15"/>
      <c r="M77" s="15"/>
      <c r="N77" s="15"/>
    </row>
    <row r="78" spans="1:14" ht="25.65" x14ac:dyDescent="0.4">
      <c r="A78" s="2"/>
      <c r="B78" s="50" t="s">
        <v>67</v>
      </c>
      <c r="C78" s="18" t="s">
        <v>68</v>
      </c>
      <c r="D78" s="18" t="s">
        <v>1127</v>
      </c>
      <c r="E78" s="18" t="s">
        <v>218</v>
      </c>
      <c r="F78" s="18" t="s">
        <v>71</v>
      </c>
      <c r="G78" s="18" t="s">
        <v>107</v>
      </c>
      <c r="H78" s="13"/>
      <c r="I78" s="13"/>
      <c r="J78" s="13"/>
      <c r="K78" s="13"/>
      <c r="L78" s="13"/>
      <c r="M78" s="13"/>
      <c r="N78" s="13"/>
    </row>
    <row r="79" spans="1:14" ht="13.25" customHeight="1" x14ac:dyDescent="0.35">
      <c r="A79" s="2"/>
      <c r="B79" s="394" t="s">
        <v>1271</v>
      </c>
      <c r="C79" s="3" t="s">
        <v>1170</v>
      </c>
      <c r="D79" s="65">
        <v>6.45</v>
      </c>
      <c r="E79" s="52">
        <v>7.94</v>
      </c>
      <c r="F79" s="435" t="s">
        <v>326</v>
      </c>
      <c r="G79" s="435" t="s">
        <v>220</v>
      </c>
      <c r="H79" s="53"/>
      <c r="I79" s="53"/>
      <c r="J79" s="53"/>
      <c r="K79" s="53"/>
      <c r="L79" s="53"/>
      <c r="M79" s="53"/>
      <c r="N79" s="53"/>
    </row>
    <row r="80" spans="1:14" x14ac:dyDescent="0.4">
      <c r="A80" s="2"/>
      <c r="B80" s="394"/>
      <c r="C80" s="3" t="s">
        <v>1014</v>
      </c>
      <c r="D80" s="54" t="s">
        <v>1077</v>
      </c>
      <c r="E80" s="52" t="s">
        <v>1077</v>
      </c>
      <c r="F80" s="436"/>
      <c r="G80" s="436"/>
      <c r="H80" s="53"/>
      <c r="I80" s="53"/>
      <c r="J80" s="53"/>
      <c r="K80" s="53"/>
      <c r="L80" s="53"/>
      <c r="M80" s="53"/>
      <c r="N80" s="53"/>
    </row>
    <row r="81" spans="1:14" x14ac:dyDescent="0.4">
      <c r="A81" s="2"/>
      <c r="B81" s="394"/>
      <c r="C81" s="3" t="s">
        <v>74</v>
      </c>
      <c r="D81" s="127">
        <v>0</v>
      </c>
      <c r="E81" s="55">
        <v>0</v>
      </c>
      <c r="F81" s="436"/>
      <c r="G81" s="436"/>
      <c r="H81" s="53"/>
      <c r="I81" s="53"/>
      <c r="J81" s="53"/>
      <c r="K81" s="53"/>
      <c r="L81" s="53"/>
      <c r="M81" s="53"/>
      <c r="N81" s="53"/>
    </row>
    <row r="82" spans="1:14" x14ac:dyDescent="0.35">
      <c r="A82" s="2"/>
      <c r="B82" s="394" t="s">
        <v>75</v>
      </c>
      <c r="C82" s="3" t="s">
        <v>1171</v>
      </c>
      <c r="D82" s="77">
        <v>4.83</v>
      </c>
      <c r="E82" s="55">
        <f>F66/E79</f>
        <v>5.8438287153652384</v>
      </c>
      <c r="F82" s="436"/>
      <c r="G82" s="436"/>
      <c r="H82" s="53"/>
      <c r="I82" s="53"/>
      <c r="J82" s="53"/>
      <c r="K82" s="53"/>
      <c r="L82" s="53"/>
      <c r="M82" s="53"/>
      <c r="N82" s="53"/>
    </row>
    <row r="83" spans="1:14" x14ac:dyDescent="0.4">
      <c r="A83" s="2"/>
      <c r="B83" s="394"/>
      <c r="C83" s="3" t="s">
        <v>109</v>
      </c>
      <c r="D83" s="54" t="s">
        <v>1077</v>
      </c>
      <c r="E83" s="52" t="s">
        <v>1077</v>
      </c>
      <c r="F83" s="436"/>
      <c r="G83" s="436"/>
      <c r="H83" s="53"/>
      <c r="I83" s="53"/>
      <c r="J83" s="53"/>
      <c r="K83" s="53"/>
      <c r="L83" s="53"/>
      <c r="M83" s="53"/>
      <c r="N83" s="53"/>
    </row>
    <row r="84" spans="1:14" x14ac:dyDescent="0.4">
      <c r="A84" s="2"/>
      <c r="B84" s="394"/>
      <c r="C84" s="3" t="s">
        <v>74</v>
      </c>
      <c r="D84" s="127">
        <v>0</v>
      </c>
      <c r="E84" s="55">
        <v>0</v>
      </c>
      <c r="F84" s="436"/>
      <c r="G84" s="436"/>
      <c r="H84" s="53"/>
      <c r="I84" s="53"/>
      <c r="J84" s="53"/>
      <c r="K84" s="53"/>
      <c r="L84" s="53"/>
      <c r="M84" s="53"/>
      <c r="N84" s="53"/>
    </row>
    <row r="85" spans="1:14" ht="14.6" x14ac:dyDescent="0.4">
      <c r="A85" s="2"/>
      <c r="B85" s="394" t="s">
        <v>76</v>
      </c>
      <c r="C85" s="3" t="s">
        <v>1171</v>
      </c>
      <c r="D85" s="97">
        <v>0.35449999999999998</v>
      </c>
      <c r="E85" s="56">
        <f>750.95/3563.72</f>
        <v>0.2107208198174941</v>
      </c>
      <c r="F85" s="436"/>
      <c r="G85" s="436"/>
      <c r="H85" s="53"/>
      <c r="I85" t="s">
        <v>693</v>
      </c>
      <c r="J85"/>
      <c r="K85"/>
      <c r="L85"/>
      <c r="M85"/>
      <c r="N85"/>
    </row>
    <row r="86" spans="1:14" x14ac:dyDescent="0.4">
      <c r="A86" s="2"/>
      <c r="B86" s="394"/>
      <c r="C86" s="3" t="s">
        <v>109</v>
      </c>
      <c r="D86" s="54" t="s">
        <v>1077</v>
      </c>
      <c r="E86" s="52" t="s">
        <v>1077</v>
      </c>
      <c r="F86" s="436"/>
      <c r="G86" s="436"/>
      <c r="H86" s="53"/>
      <c r="I86" s="53"/>
      <c r="J86" s="53"/>
      <c r="K86" s="53"/>
      <c r="L86" s="53"/>
      <c r="M86" s="53"/>
      <c r="N86" s="53"/>
    </row>
    <row r="87" spans="1:14" x14ac:dyDescent="0.4">
      <c r="A87" s="2"/>
      <c r="B87" s="394"/>
      <c r="C87" s="3" t="s">
        <v>74</v>
      </c>
      <c r="D87" s="127">
        <v>0</v>
      </c>
      <c r="E87" s="55">
        <v>0</v>
      </c>
      <c r="F87" s="436"/>
      <c r="G87" s="436"/>
      <c r="H87" s="53"/>
      <c r="I87" s="53"/>
      <c r="J87" s="53"/>
      <c r="K87" s="53"/>
      <c r="L87" s="53"/>
      <c r="M87" s="53"/>
      <c r="N87" s="53"/>
    </row>
    <row r="88" spans="1:14" x14ac:dyDescent="0.35">
      <c r="A88" s="2"/>
      <c r="B88" s="394" t="s">
        <v>77</v>
      </c>
      <c r="C88" s="3" t="s">
        <v>1171</v>
      </c>
      <c r="D88" s="65">
        <v>18.190000000000001</v>
      </c>
      <c r="E88" s="55">
        <f>3563.72/122.4</f>
        <v>29.11535947712418</v>
      </c>
      <c r="F88" s="436"/>
      <c r="G88" s="436"/>
      <c r="H88" s="53"/>
      <c r="I88" s="53"/>
      <c r="J88" s="53"/>
      <c r="K88" s="53"/>
      <c r="L88" s="53"/>
      <c r="M88" s="53"/>
      <c r="N88" s="53"/>
    </row>
    <row r="89" spans="1:14" x14ac:dyDescent="0.4">
      <c r="A89" s="2"/>
      <c r="B89" s="394"/>
      <c r="C89" s="3" t="s">
        <v>109</v>
      </c>
      <c r="D89" s="54" t="s">
        <v>1077</v>
      </c>
      <c r="E89" s="52" t="s">
        <v>1077</v>
      </c>
      <c r="F89" s="436"/>
      <c r="G89" s="436"/>
      <c r="H89" s="53"/>
      <c r="I89" s="53"/>
      <c r="J89" s="53"/>
      <c r="K89" s="53"/>
      <c r="L89" s="53"/>
      <c r="M89" s="53"/>
      <c r="N89" s="53"/>
    </row>
    <row r="90" spans="1:14" x14ac:dyDescent="0.4">
      <c r="A90" s="2"/>
      <c r="B90" s="411"/>
      <c r="C90" s="3" t="s">
        <v>74</v>
      </c>
      <c r="D90" s="127">
        <v>0</v>
      </c>
      <c r="E90" s="55">
        <v>0</v>
      </c>
      <c r="F90" s="436"/>
      <c r="G90" s="436"/>
      <c r="H90" s="53"/>
      <c r="I90" s="53"/>
      <c r="J90" s="53"/>
      <c r="K90" s="53"/>
      <c r="L90" s="53"/>
      <c r="M90" s="53"/>
      <c r="N90" s="53"/>
    </row>
    <row r="91" spans="1:14" s="1" customFormat="1" x14ac:dyDescent="0.4">
      <c r="B91" s="412"/>
      <c r="C91" s="413"/>
      <c r="D91" s="413"/>
      <c r="E91" s="413"/>
      <c r="F91" s="413"/>
      <c r="G91" s="414"/>
    </row>
    <row r="92" spans="1:14" x14ac:dyDescent="0.4">
      <c r="A92" s="2"/>
      <c r="B92" s="415" t="s">
        <v>1172</v>
      </c>
      <c r="C92" s="416"/>
      <c r="D92" s="416"/>
      <c r="E92" s="416"/>
      <c r="F92" s="416"/>
      <c r="G92" s="417"/>
      <c r="H92" s="53"/>
      <c r="I92" s="53" t="s">
        <v>693</v>
      </c>
      <c r="J92" s="53"/>
      <c r="K92" s="53"/>
      <c r="L92" s="53"/>
      <c r="M92" s="53"/>
      <c r="N92" s="53"/>
    </row>
    <row r="93" spans="1:14" ht="25.55" customHeight="1" x14ac:dyDescent="0.4">
      <c r="A93" s="2"/>
      <c r="B93" s="415" t="s">
        <v>1016</v>
      </c>
      <c r="C93" s="416"/>
      <c r="D93" s="416"/>
      <c r="E93" s="416"/>
      <c r="F93" s="416"/>
      <c r="G93" s="417"/>
      <c r="H93" s="53"/>
      <c r="I93" s="53"/>
      <c r="J93" s="53"/>
      <c r="K93" s="53"/>
      <c r="L93" s="53"/>
      <c r="M93" s="53"/>
      <c r="N93" s="53"/>
    </row>
    <row r="94" spans="1:14" x14ac:dyDescent="0.4">
      <c r="A94" s="2"/>
      <c r="B94" s="363"/>
      <c r="C94" s="368"/>
      <c r="D94" s="368"/>
      <c r="E94" s="368"/>
      <c r="F94" s="368"/>
      <c r="G94" s="369"/>
      <c r="H94" s="53"/>
      <c r="I94" s="53"/>
      <c r="J94" s="53"/>
      <c r="K94" s="53"/>
      <c r="L94" s="53"/>
      <c r="M94" s="53"/>
      <c r="N94" s="53"/>
    </row>
    <row r="95" spans="1:14" x14ac:dyDescent="0.4">
      <c r="C95" s="407"/>
      <c r="D95" s="407"/>
      <c r="E95" s="407"/>
      <c r="F95" s="407"/>
      <c r="G95" s="407"/>
      <c r="H95" s="53"/>
      <c r="I95" s="53"/>
    </row>
    <row r="96" spans="1:14" x14ac:dyDescent="0.4">
      <c r="A96" s="9">
        <v>14</v>
      </c>
      <c r="B96" s="61" t="s">
        <v>78</v>
      </c>
      <c r="C96" s="614" t="s">
        <v>41</v>
      </c>
      <c r="D96" s="615"/>
      <c r="E96" s="615"/>
      <c r="F96" s="615"/>
      <c r="G96" s="616"/>
    </row>
    <row r="97" spans="2:7" x14ac:dyDescent="0.4">
      <c r="C97" s="69"/>
      <c r="D97" s="69"/>
      <c r="E97" s="69"/>
      <c r="F97" s="69"/>
      <c r="G97" s="69"/>
    </row>
    <row r="99" spans="2:7" ht="12.7" customHeight="1" x14ac:dyDescent="0.4">
      <c r="B99" s="548" t="s">
        <v>1173</v>
      </c>
      <c r="C99" s="549"/>
      <c r="D99" s="549"/>
      <c r="E99" s="549"/>
      <c r="F99" s="549"/>
      <c r="G99" s="629"/>
    </row>
    <row r="101" spans="2:7" ht="25.55" customHeight="1" x14ac:dyDescent="0.4">
      <c r="B101" s="497" t="s">
        <v>1234</v>
      </c>
      <c r="C101" s="497"/>
      <c r="D101" s="497"/>
      <c r="E101" s="497"/>
      <c r="F101" s="497"/>
      <c r="G101" s="497"/>
    </row>
    <row r="103" spans="2:7" x14ac:dyDescent="0.4">
      <c r="C103" s="230"/>
      <c r="D103" s="230"/>
      <c r="G103" s="230"/>
    </row>
    <row r="104" spans="2:7" x14ac:dyDescent="0.4">
      <c r="D104" s="107"/>
      <c r="E104" s="107"/>
      <c r="G104" s="230"/>
    </row>
    <row r="105" spans="2:7" x14ac:dyDescent="0.4">
      <c r="E105" s="107"/>
    </row>
  </sheetData>
  <sheetProtection algorithmName="SHA-512" hashValue="N5o2gTVSjfTILJbNeIiq9oeTDKb2ytmJy1oSR/7SrcFAFpaVBh7FrZlMH3iA8kjPdvO1gX/HLUgJRPldSoofXg==" saltValue="ZvYdrXIakxyMmeCFyHyezg==" spinCount="100000" sheet="1" objects="1" scenarios="1"/>
  <mergeCells count="69">
    <mergeCell ref="C95:G95"/>
    <mergeCell ref="C96:G96"/>
    <mergeCell ref="B85:B87"/>
    <mergeCell ref="B88:B90"/>
    <mergeCell ref="B91:G91"/>
    <mergeCell ref="B92:G92"/>
    <mergeCell ref="B93:G93"/>
    <mergeCell ref="B94:G94"/>
    <mergeCell ref="B79:B81"/>
    <mergeCell ref="F79:F90"/>
    <mergeCell ref="G79:G90"/>
    <mergeCell ref="B82:B84"/>
    <mergeCell ref="B71:N71"/>
    <mergeCell ref="B72:N72"/>
    <mergeCell ref="B73:N73"/>
    <mergeCell ref="B74:N74"/>
    <mergeCell ref="B76:G76"/>
    <mergeCell ref="B70:N70"/>
    <mergeCell ref="C53:E53"/>
    <mergeCell ref="C54:E54"/>
    <mergeCell ref="B55:E55"/>
    <mergeCell ref="B56:E56"/>
    <mergeCell ref="C58:E58"/>
    <mergeCell ref="B64:B65"/>
    <mergeCell ref="C64:C65"/>
    <mergeCell ref="D64:D65"/>
    <mergeCell ref="E64:E65"/>
    <mergeCell ref="F64:H64"/>
    <mergeCell ref="I64:K64"/>
    <mergeCell ref="L64:N64"/>
    <mergeCell ref="C68:N68"/>
    <mergeCell ref="B69:N69"/>
    <mergeCell ref="C62:E62"/>
    <mergeCell ref="B12:E12"/>
    <mergeCell ref="C14:E14"/>
    <mergeCell ref="B51:B52"/>
    <mergeCell ref="C51:E52"/>
    <mergeCell ref="B33:E33"/>
    <mergeCell ref="B39:E39"/>
    <mergeCell ref="C40:E40"/>
    <mergeCell ref="C41:E41"/>
    <mergeCell ref="C42:E42"/>
    <mergeCell ref="B43:E43"/>
    <mergeCell ref="B45:E45"/>
    <mergeCell ref="B48:E48"/>
    <mergeCell ref="B50:E50"/>
    <mergeCell ref="C11:E11"/>
    <mergeCell ref="A1:B1"/>
    <mergeCell ref="C3:E3"/>
    <mergeCell ref="C5:E5"/>
    <mergeCell ref="C8:E8"/>
    <mergeCell ref="B9:E9"/>
    <mergeCell ref="B6:E6"/>
    <mergeCell ref="B101:G101"/>
    <mergeCell ref="B99:G99"/>
    <mergeCell ref="B15:E15"/>
    <mergeCell ref="C34:E34"/>
    <mergeCell ref="C35:E35"/>
    <mergeCell ref="C36:E36"/>
    <mergeCell ref="D28:D31"/>
    <mergeCell ref="E28:E31"/>
    <mergeCell ref="B17:E17"/>
    <mergeCell ref="C18:E18"/>
    <mergeCell ref="C19:E19"/>
    <mergeCell ref="C20:E20"/>
    <mergeCell ref="C21:E21"/>
    <mergeCell ref="C22:E22"/>
    <mergeCell ref="B25:E25"/>
    <mergeCell ref="B26:E26"/>
  </mergeCells>
  <pageMargins left="0" right="0" top="0.42499999999999999" bottom="0.75" header="0.10625" footer="0.3"/>
  <pageSetup paperSize="5" scale="63" orientation="landscape" verticalDpi="300" r:id="rId1"/>
  <rowBreaks count="1" manualBreakCount="1">
    <brk id="47"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N101"/>
  <sheetViews>
    <sheetView view="pageBreakPreview" topLeftCell="A22" zoomScale="60" zoomScaleNormal="100" zoomScalePageLayoutView="50" workbookViewId="0">
      <selection activeCell="C5" sqref="C5:G5"/>
    </sheetView>
  </sheetViews>
  <sheetFormatPr defaultRowHeight="14.6" x14ac:dyDescent="0.4"/>
  <cols>
    <col min="1" max="1" width="6.4609375" bestFit="1" customWidth="1"/>
    <col min="2" max="2" width="46" bestFit="1" customWidth="1"/>
    <col min="3" max="3" width="19.53515625" customWidth="1"/>
    <col min="4" max="4" width="18.07421875" customWidth="1"/>
    <col min="5" max="5" width="18.69140625" customWidth="1"/>
    <col min="6" max="6" width="9.3046875" bestFit="1" customWidth="1"/>
    <col min="8" max="8" width="10" bestFit="1" customWidth="1"/>
    <col min="9" max="9" width="7.07421875" bestFit="1" customWidth="1"/>
    <col min="10" max="10" width="9.07421875" bestFit="1" customWidth="1"/>
    <col min="11"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1182</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1183</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50.61</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25.65" x14ac:dyDescent="0.4">
      <c r="A19" s="9"/>
      <c r="B19" s="14" t="s">
        <v>1080</v>
      </c>
      <c r="C19" s="367" t="s">
        <v>560</v>
      </c>
      <c r="D19" s="367"/>
      <c r="E19" s="367"/>
      <c r="F19" s="15"/>
      <c r="G19" s="13" t="s">
        <v>693</v>
      </c>
      <c r="H19" s="8"/>
      <c r="I19" s="13"/>
      <c r="J19" s="13"/>
      <c r="K19" s="13"/>
      <c r="L19" s="13"/>
      <c r="M19" s="13"/>
      <c r="N19" s="13"/>
    </row>
    <row r="20" spans="1:14" x14ac:dyDescent="0.4">
      <c r="A20" s="9"/>
      <c r="B20" s="14" t="s">
        <v>605</v>
      </c>
      <c r="C20" s="367" t="s">
        <v>560</v>
      </c>
      <c r="D20" s="367"/>
      <c r="E20" s="36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15"/>
      <c r="C23" s="15"/>
      <c r="D23" s="170"/>
      <c r="E23" s="15"/>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303">
        <v>1343.87</v>
      </c>
      <c r="D27" s="592" t="s">
        <v>264</v>
      </c>
      <c r="E27" s="540" t="s">
        <v>203</v>
      </c>
      <c r="F27" s="15"/>
      <c r="G27" s="8"/>
      <c r="H27" s="8"/>
      <c r="I27" s="8"/>
      <c r="J27" s="8"/>
      <c r="K27" s="8"/>
      <c r="L27" s="8"/>
      <c r="M27" s="8"/>
      <c r="N27" s="8"/>
    </row>
    <row r="28" spans="1:14" x14ac:dyDescent="0.4">
      <c r="A28" s="9"/>
      <c r="B28" s="19" t="s">
        <v>25</v>
      </c>
      <c r="C28" s="303">
        <v>324.39999999999998</v>
      </c>
      <c r="D28" s="593"/>
      <c r="E28" s="541"/>
      <c r="F28" s="15"/>
      <c r="G28" s="8"/>
      <c r="H28" s="8"/>
      <c r="I28" s="8"/>
      <c r="J28" s="8"/>
      <c r="K28" s="8"/>
      <c r="L28" s="8"/>
      <c r="M28" s="8"/>
      <c r="N28" s="8"/>
    </row>
    <row r="29" spans="1:14" x14ac:dyDescent="0.4">
      <c r="A29" s="9"/>
      <c r="B29" s="19" t="s">
        <v>26</v>
      </c>
      <c r="C29" s="303">
        <v>324.39999999999998</v>
      </c>
      <c r="D29" s="593"/>
      <c r="E29" s="541"/>
      <c r="F29" s="15"/>
      <c r="G29" s="8"/>
      <c r="H29" s="8"/>
      <c r="I29" s="8"/>
      <c r="J29" s="8"/>
      <c r="K29" s="8"/>
      <c r="L29" s="8"/>
      <c r="M29" s="8"/>
      <c r="N29" s="8"/>
    </row>
    <row r="30" spans="1:14" x14ac:dyDescent="0.4">
      <c r="A30" s="9"/>
      <c r="B30" s="19" t="s">
        <v>27</v>
      </c>
      <c r="C30" s="303">
        <v>641.38</v>
      </c>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30</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v>8</v>
      </c>
      <c r="B38" s="365" t="s">
        <v>1084</v>
      </c>
      <c r="C38" s="365"/>
      <c r="D38" s="365"/>
      <c r="E38" s="365"/>
      <c r="F38" s="11"/>
      <c r="G38" s="11"/>
      <c r="H38" s="11"/>
      <c r="I38" s="11"/>
      <c r="J38" s="11"/>
      <c r="K38" s="8"/>
      <c r="L38" s="8"/>
      <c r="M38" s="8"/>
      <c r="N38" s="8"/>
    </row>
    <row r="39" spans="1:14" ht="15.05" customHeight="1" x14ac:dyDescent="0.4">
      <c r="A39" s="9"/>
      <c r="B39" s="17" t="s">
        <v>34</v>
      </c>
      <c r="C39" s="373" t="s">
        <v>937</v>
      </c>
      <c r="D39" s="374"/>
      <c r="E39" s="375"/>
      <c r="F39" s="13"/>
      <c r="G39" s="8"/>
      <c r="H39" s="8"/>
      <c r="I39" s="8"/>
      <c r="J39" s="8"/>
      <c r="K39" s="8"/>
      <c r="L39" s="8"/>
      <c r="M39" s="8"/>
      <c r="N39" s="8"/>
    </row>
    <row r="40" spans="1:14" x14ac:dyDescent="0.4">
      <c r="A40" s="9"/>
      <c r="B40" s="17" t="s">
        <v>31</v>
      </c>
      <c r="C40" s="373" t="s">
        <v>320</v>
      </c>
      <c r="D40" s="374"/>
      <c r="E40" s="375"/>
      <c r="F40" s="13"/>
      <c r="G40" s="8"/>
      <c r="H40" s="8"/>
      <c r="I40" s="8"/>
      <c r="J40" s="8"/>
      <c r="K40" s="8"/>
      <c r="L40" s="8"/>
      <c r="M40" s="8"/>
      <c r="N40" s="8"/>
    </row>
    <row r="41" spans="1:14" x14ac:dyDescent="0.4">
      <c r="A41" s="9"/>
      <c r="B41" s="17" t="s">
        <v>32</v>
      </c>
      <c r="C41" s="446" t="s">
        <v>201</v>
      </c>
      <c r="D41" s="446"/>
      <c r="E41" s="446"/>
      <c r="F41" s="13"/>
      <c r="G41" s="8"/>
      <c r="H41" s="8"/>
      <c r="I41" s="8"/>
      <c r="J41" s="8"/>
      <c r="K41" s="8"/>
      <c r="L41" s="8"/>
      <c r="M41" s="8"/>
      <c r="N41" s="8"/>
    </row>
    <row r="42" spans="1:14" x14ac:dyDescent="0.4">
      <c r="A42" s="9"/>
      <c r="B42" s="363" t="s">
        <v>848</v>
      </c>
      <c r="C42" s="368"/>
      <c r="D42" s="368"/>
      <c r="E42" s="369"/>
      <c r="F42" s="13"/>
      <c r="G42" s="8"/>
      <c r="H42" s="8"/>
      <c r="I42" s="8"/>
      <c r="J42" s="8"/>
      <c r="K42" s="8"/>
      <c r="L42" s="8"/>
      <c r="M42" s="8"/>
      <c r="N42" s="8"/>
    </row>
    <row r="43" spans="1:14" x14ac:dyDescent="0.4">
      <c r="A43" s="2"/>
      <c r="B43" s="8"/>
      <c r="C43" s="8"/>
      <c r="D43" s="173"/>
      <c r="E43" s="13"/>
      <c r="F43" s="8"/>
      <c r="G43" s="8"/>
      <c r="H43" s="8"/>
      <c r="I43" s="8"/>
      <c r="J43" s="8"/>
      <c r="K43" s="8"/>
      <c r="L43" s="8"/>
      <c r="M43" s="8"/>
      <c r="N43" s="8"/>
    </row>
    <row r="44" spans="1:14" x14ac:dyDescent="0.4">
      <c r="A44" s="24">
        <v>9</v>
      </c>
      <c r="B44" s="376" t="s">
        <v>1085</v>
      </c>
      <c r="C44" s="365"/>
      <c r="D44" s="365"/>
      <c r="E44" s="365"/>
      <c r="F44" s="25"/>
      <c r="G44" s="11"/>
      <c r="H44" s="11"/>
      <c r="I44" s="11"/>
      <c r="J44" s="8"/>
      <c r="K44" s="8"/>
      <c r="L44" s="8"/>
      <c r="M44" s="8"/>
      <c r="N44" s="8"/>
    </row>
    <row r="45" spans="1:14" ht="38.450000000000003" x14ac:dyDescent="0.4">
      <c r="A45" s="24"/>
      <c r="B45" s="26" t="s">
        <v>37</v>
      </c>
      <c r="C45" s="27" t="s">
        <v>38</v>
      </c>
      <c r="D45" s="174" t="s">
        <v>39</v>
      </c>
      <c r="E45" s="27" t="s">
        <v>206</v>
      </c>
      <c r="F45" s="8"/>
      <c r="G45" s="8"/>
      <c r="H45" s="8"/>
      <c r="I45" s="8"/>
      <c r="J45" s="8"/>
      <c r="K45" s="8"/>
      <c r="L45" s="8"/>
      <c r="M45" s="8"/>
      <c r="N45" s="8"/>
    </row>
    <row r="46" spans="1:14" ht="132.55000000000001" x14ac:dyDescent="0.4">
      <c r="A46" s="29"/>
      <c r="B46" s="78" t="s">
        <v>1184</v>
      </c>
      <c r="C46" s="78" t="s">
        <v>1185</v>
      </c>
      <c r="D46" s="78" t="s">
        <v>1255</v>
      </c>
      <c r="E46" s="117" t="s">
        <v>186</v>
      </c>
      <c r="F46" s="8"/>
      <c r="G46" s="8"/>
      <c r="H46" s="8"/>
      <c r="I46" s="8"/>
      <c r="J46" s="8"/>
      <c r="K46" s="8"/>
      <c r="L46" s="8"/>
      <c r="M46" s="8"/>
      <c r="N46" s="8"/>
    </row>
    <row r="47" spans="1:14" x14ac:dyDescent="0.4">
      <c r="A47" s="31"/>
      <c r="B47" s="380" t="s">
        <v>1186</v>
      </c>
      <c r="C47" s="381"/>
      <c r="D47" s="381"/>
      <c r="E47" s="382"/>
      <c r="F47" s="15"/>
      <c r="G47" s="15"/>
      <c r="H47" s="15"/>
      <c r="I47" s="8"/>
      <c r="J47" s="8"/>
      <c r="K47" s="8"/>
      <c r="L47" s="8"/>
      <c r="M47" s="8"/>
      <c r="N47" s="8"/>
    </row>
    <row r="48" spans="1:14" x14ac:dyDescent="0.4">
      <c r="A48" s="32"/>
      <c r="B48" s="62"/>
      <c r="C48" s="23"/>
      <c r="D48" s="173"/>
      <c r="E48" s="23"/>
      <c r="F48" s="15"/>
      <c r="G48" s="15"/>
      <c r="H48" s="15"/>
      <c r="I48" s="15"/>
      <c r="J48" s="8"/>
      <c r="K48" s="8"/>
      <c r="L48" s="8"/>
      <c r="M48" s="8"/>
      <c r="N48" s="8"/>
    </row>
    <row r="49" spans="1:14" x14ac:dyDescent="0.4">
      <c r="A49" s="24">
        <v>10</v>
      </c>
      <c r="B49" s="376" t="s">
        <v>1085</v>
      </c>
      <c r="C49" s="365"/>
      <c r="D49" s="365"/>
      <c r="E49" s="365"/>
      <c r="F49" s="15"/>
      <c r="G49" s="15"/>
      <c r="H49" s="15"/>
      <c r="I49" s="8"/>
      <c r="J49" s="8"/>
      <c r="K49" s="8"/>
      <c r="L49" s="8"/>
      <c r="M49" s="8"/>
      <c r="N49" s="8"/>
    </row>
    <row r="50" spans="1:14" ht="21.75" customHeight="1" x14ac:dyDescent="0.4">
      <c r="A50" s="29"/>
      <c r="B50" s="383" t="s">
        <v>43</v>
      </c>
      <c r="C50" s="581" t="s">
        <v>1185</v>
      </c>
      <c r="D50" s="582"/>
      <c r="E50" s="583"/>
      <c r="F50" s="8"/>
      <c r="G50" s="8"/>
      <c r="H50" s="8"/>
      <c r="I50" s="8"/>
      <c r="J50" s="8"/>
      <c r="K50" s="1"/>
      <c r="L50" s="8"/>
      <c r="M50" s="8"/>
      <c r="N50" s="8"/>
    </row>
    <row r="51" spans="1:14" ht="83.3" customHeight="1" x14ac:dyDescent="0.4">
      <c r="A51" s="29"/>
      <c r="B51" s="384"/>
      <c r="C51" s="584"/>
      <c r="D51" s="585"/>
      <c r="E51" s="586"/>
      <c r="F51" s="8"/>
      <c r="G51" s="8"/>
      <c r="H51" s="8"/>
      <c r="I51" s="8"/>
      <c r="J51" s="8"/>
      <c r="K51" s="1"/>
      <c r="L51" s="8"/>
      <c r="M51" s="8"/>
      <c r="N51" s="8"/>
    </row>
    <row r="52" spans="1:14" ht="63.05" customHeight="1" x14ac:dyDescent="0.4">
      <c r="A52" s="24"/>
      <c r="B52" s="33" t="s">
        <v>44</v>
      </c>
      <c r="C52" s="391" t="s">
        <v>1255</v>
      </c>
      <c r="D52" s="391"/>
      <c r="E52" s="391"/>
      <c r="F52" s="8"/>
      <c r="G52" s="8"/>
      <c r="H52" s="8"/>
      <c r="I52" s="8"/>
      <c r="J52" s="8"/>
      <c r="K52" s="8"/>
      <c r="L52" s="8"/>
      <c r="M52" s="8"/>
      <c r="N52" s="8"/>
    </row>
    <row r="53" spans="1:14" x14ac:dyDescent="0.4">
      <c r="A53" s="29"/>
      <c r="B53" s="33" t="s">
        <v>45</v>
      </c>
      <c r="C53" s="471" t="s">
        <v>46</v>
      </c>
      <c r="D53" s="472"/>
      <c r="E53" s="473"/>
      <c r="F53" s="8"/>
      <c r="G53" s="8"/>
      <c r="H53" s="8"/>
      <c r="I53" s="8"/>
      <c r="J53" s="8"/>
      <c r="K53" s="34"/>
      <c r="L53" s="8"/>
      <c r="M53" s="8"/>
      <c r="N53" s="8"/>
    </row>
    <row r="54" spans="1:14" x14ac:dyDescent="0.4">
      <c r="A54" s="29"/>
      <c r="B54" s="480" t="s">
        <v>1186</v>
      </c>
      <c r="C54" s="480"/>
      <c r="D54" s="480"/>
      <c r="E54" s="480"/>
      <c r="F54" s="8"/>
      <c r="G54" s="8"/>
      <c r="H54" s="8"/>
      <c r="I54" s="8"/>
      <c r="J54" s="8"/>
      <c r="K54" s="34"/>
      <c r="L54" s="8"/>
      <c r="M54" s="8"/>
      <c r="N54" s="8"/>
    </row>
    <row r="55" spans="1:14" x14ac:dyDescent="0.4">
      <c r="A55" s="35" t="s">
        <v>47</v>
      </c>
      <c r="B55" s="392" t="s">
        <v>48</v>
      </c>
      <c r="C55" s="392"/>
      <c r="D55" s="392"/>
      <c r="E55" s="392"/>
      <c r="F55" s="63"/>
      <c r="G55" s="63"/>
      <c r="H55" s="63"/>
      <c r="I55" s="63"/>
      <c r="J55" s="63"/>
      <c r="K55" s="63"/>
      <c r="L55" s="63"/>
      <c r="M55" s="63"/>
      <c r="N55" s="63"/>
    </row>
    <row r="56" spans="1:14" x14ac:dyDescent="0.4">
      <c r="A56" s="40"/>
      <c r="B56" s="41"/>
      <c r="C56" s="42"/>
      <c r="D56" s="175"/>
      <c r="E56" s="42"/>
      <c r="F56" s="42"/>
      <c r="G56" s="8"/>
      <c r="H56" s="8"/>
      <c r="I56" s="8"/>
      <c r="J56" s="8"/>
      <c r="K56" s="8"/>
      <c r="L56" s="8"/>
      <c r="M56" s="8"/>
      <c r="N56" s="8"/>
    </row>
    <row r="57" spans="1:14" x14ac:dyDescent="0.4">
      <c r="A57" s="9">
        <v>11</v>
      </c>
      <c r="B57" s="3" t="s">
        <v>49</v>
      </c>
      <c r="C57" s="580" t="s">
        <v>851</v>
      </c>
      <c r="D57" s="580"/>
      <c r="E57" s="580"/>
      <c r="F57" s="11"/>
      <c r="G57" s="11"/>
      <c r="H57" s="43"/>
      <c r="I57" s="11"/>
      <c r="J57" s="11"/>
      <c r="K57" s="8"/>
      <c r="L57" s="8"/>
      <c r="M57" s="8"/>
      <c r="N57" s="8"/>
    </row>
    <row r="58" spans="1:14" x14ac:dyDescent="0.4">
      <c r="A58" s="9"/>
      <c r="B58" s="15"/>
      <c r="C58" s="15"/>
      <c r="D58" s="170"/>
      <c r="E58" s="15"/>
      <c r="F58" s="15"/>
      <c r="G58" s="15"/>
      <c r="H58" s="44"/>
      <c r="I58" s="44"/>
      <c r="J58" s="15"/>
      <c r="K58" s="8"/>
      <c r="L58" s="8"/>
      <c r="M58" s="8"/>
      <c r="N58" s="8"/>
    </row>
    <row r="59" spans="1:14" x14ac:dyDescent="0.4">
      <c r="A59" s="9">
        <v>12</v>
      </c>
      <c r="B59" s="11" t="s">
        <v>51</v>
      </c>
      <c r="C59" s="11"/>
      <c r="D59" s="176"/>
      <c r="E59" s="43"/>
      <c r="F59" s="43"/>
      <c r="G59" s="11"/>
      <c r="H59" s="11"/>
      <c r="I59" s="11"/>
      <c r="J59" s="11"/>
      <c r="K59" s="11"/>
      <c r="L59" s="11"/>
      <c r="M59" s="11"/>
      <c r="N59" s="11"/>
    </row>
    <row r="60" spans="1:14" x14ac:dyDescent="0.4">
      <c r="A60" s="9"/>
      <c r="B60" s="11"/>
      <c r="C60" s="11"/>
      <c r="D60" s="176"/>
      <c r="E60" s="43"/>
      <c r="F60" s="43"/>
      <c r="G60" s="43"/>
      <c r="H60" s="11"/>
      <c r="I60" s="11"/>
      <c r="J60" s="11"/>
      <c r="K60" s="11"/>
      <c r="L60" s="11"/>
      <c r="M60" s="11"/>
      <c r="N60" s="11"/>
    </row>
    <row r="61" spans="1:14" x14ac:dyDescent="0.4">
      <c r="A61" s="9"/>
      <c r="B61" s="17" t="s">
        <v>52</v>
      </c>
      <c r="C61" s="446" t="s">
        <v>1187</v>
      </c>
      <c r="D61" s="446"/>
      <c r="E61" s="446"/>
      <c r="F61" s="44"/>
      <c r="G61" s="44"/>
      <c r="H61" s="15"/>
      <c r="I61" s="15"/>
      <c r="J61" s="15"/>
      <c r="K61" s="15"/>
      <c r="L61" s="15"/>
      <c r="M61" s="15"/>
      <c r="N61" s="15"/>
    </row>
    <row r="62" spans="1:14" x14ac:dyDescent="0.4">
      <c r="A62" s="9"/>
      <c r="B62" s="15"/>
      <c r="C62" s="15"/>
      <c r="D62" s="236"/>
      <c r="E62" s="118"/>
      <c r="F62" s="15"/>
      <c r="G62" s="15"/>
      <c r="H62" s="118"/>
      <c r="I62" s="15"/>
      <c r="J62" s="118"/>
      <c r="K62" s="15"/>
      <c r="L62" s="15"/>
      <c r="M62" s="15"/>
      <c r="N62" s="15"/>
    </row>
    <row r="63" spans="1:14" x14ac:dyDescent="0.4">
      <c r="A63" s="9"/>
      <c r="B63" s="365" t="s">
        <v>53</v>
      </c>
      <c r="C63" s="366" t="s">
        <v>1188</v>
      </c>
      <c r="D63" s="558" t="s">
        <v>271</v>
      </c>
      <c r="E63" s="403" t="s">
        <v>232</v>
      </c>
      <c r="F63" s="395" t="s">
        <v>626</v>
      </c>
      <c r="G63" s="396"/>
      <c r="H63" s="397"/>
      <c r="I63" s="398" t="s">
        <v>55</v>
      </c>
      <c r="J63" s="398"/>
      <c r="K63" s="398"/>
      <c r="L63" s="398" t="s">
        <v>56</v>
      </c>
      <c r="M63" s="398"/>
      <c r="N63" s="398"/>
    </row>
    <row r="64" spans="1:14" ht="38.450000000000003" x14ac:dyDescent="0.4">
      <c r="A64" s="2"/>
      <c r="B64" s="365"/>
      <c r="C64" s="402"/>
      <c r="D64" s="559"/>
      <c r="E64" s="404"/>
      <c r="F64" s="17" t="s">
        <v>57</v>
      </c>
      <c r="G64" s="17" t="s">
        <v>58</v>
      </c>
      <c r="H64" s="17" t="s">
        <v>59</v>
      </c>
      <c r="I64" s="17" t="s">
        <v>60</v>
      </c>
      <c r="J64" s="17" t="s">
        <v>58</v>
      </c>
      <c r="K64" s="17" t="s">
        <v>59</v>
      </c>
      <c r="L64" s="17" t="s">
        <v>60</v>
      </c>
      <c r="M64" s="17" t="s">
        <v>58</v>
      </c>
      <c r="N64" s="17" t="s">
        <v>59</v>
      </c>
    </row>
    <row r="65" spans="1:14" x14ac:dyDescent="0.4">
      <c r="A65" s="2"/>
      <c r="B65" s="17" t="s">
        <v>61</v>
      </c>
      <c r="C65" s="284">
        <v>55.79</v>
      </c>
      <c r="D65" s="101">
        <v>55.15</v>
      </c>
      <c r="E65" s="101" t="s">
        <v>1189</v>
      </c>
      <c r="F65" s="101">
        <v>54</v>
      </c>
      <c r="G65" s="101">
        <v>59.2</v>
      </c>
      <c r="H65" s="101">
        <v>52.5</v>
      </c>
      <c r="I65" s="101" t="s">
        <v>41</v>
      </c>
      <c r="J65" s="101" t="s">
        <v>41</v>
      </c>
      <c r="K65" s="101" t="s">
        <v>41</v>
      </c>
      <c r="L65" s="101" t="s">
        <v>41</v>
      </c>
      <c r="M65" s="101" t="s">
        <v>41</v>
      </c>
      <c r="N65" s="101" t="s">
        <v>41</v>
      </c>
    </row>
    <row r="66" spans="1:14" x14ac:dyDescent="0.4">
      <c r="A66" s="2"/>
      <c r="B66" s="17" t="s">
        <v>216</v>
      </c>
      <c r="C66" s="284">
        <v>57925.279999999999</v>
      </c>
      <c r="D66" s="294">
        <v>59655.06</v>
      </c>
      <c r="E66" s="101" t="s">
        <v>1189</v>
      </c>
      <c r="F66" s="101">
        <v>58991.519999999997</v>
      </c>
      <c r="G66" s="101">
        <v>59068.47</v>
      </c>
      <c r="H66" s="101">
        <v>57415.02</v>
      </c>
      <c r="I66" s="101" t="s">
        <v>41</v>
      </c>
      <c r="J66" s="101" t="s">
        <v>41</v>
      </c>
      <c r="K66" s="101" t="s">
        <v>41</v>
      </c>
      <c r="L66" s="101" t="s">
        <v>41</v>
      </c>
      <c r="M66" s="101" t="s">
        <v>41</v>
      </c>
      <c r="N66" s="101" t="s">
        <v>41</v>
      </c>
    </row>
    <row r="67" spans="1:14" x14ac:dyDescent="0.4">
      <c r="A67" s="2"/>
      <c r="B67" s="17" t="s">
        <v>1087</v>
      </c>
      <c r="C67" s="546" t="s">
        <v>83</v>
      </c>
      <c r="D67" s="546"/>
      <c r="E67" s="546"/>
      <c r="F67" s="546"/>
      <c r="G67" s="546"/>
      <c r="H67" s="546"/>
      <c r="I67" s="546"/>
      <c r="J67" s="546"/>
      <c r="K67" s="546"/>
      <c r="L67" s="546"/>
      <c r="M67" s="546"/>
      <c r="N67" s="546"/>
    </row>
    <row r="68" spans="1:14" s="8" customFormat="1" ht="13.25" x14ac:dyDescent="0.4">
      <c r="A68" s="2"/>
      <c r="B68" s="399" t="s">
        <v>1190</v>
      </c>
      <c r="C68" s="399"/>
      <c r="D68" s="399"/>
      <c r="E68" s="399"/>
      <c r="F68" s="399"/>
      <c r="G68" s="399"/>
      <c r="H68" s="399"/>
      <c r="I68" s="399"/>
      <c r="J68" s="399"/>
      <c r="K68" s="399"/>
      <c r="L68" s="399"/>
      <c r="M68" s="399"/>
      <c r="N68" s="399"/>
    </row>
    <row r="69" spans="1:14" x14ac:dyDescent="0.4">
      <c r="A69" s="2"/>
      <c r="B69" s="545" t="s">
        <v>17</v>
      </c>
      <c r="C69" s="545"/>
      <c r="D69" s="545"/>
      <c r="E69" s="545"/>
      <c r="F69" s="545"/>
      <c r="G69" s="545"/>
      <c r="H69" s="545"/>
      <c r="I69" s="545"/>
      <c r="J69" s="545"/>
      <c r="K69" s="545"/>
      <c r="L69" s="545"/>
      <c r="M69" s="545"/>
      <c r="N69" s="545"/>
    </row>
    <row r="70" spans="1:14" x14ac:dyDescent="0.4">
      <c r="A70" s="2"/>
      <c r="B70" s="480" t="s">
        <v>63</v>
      </c>
      <c r="C70" s="480"/>
      <c r="D70" s="480"/>
      <c r="E70" s="480"/>
      <c r="F70" s="480"/>
      <c r="G70" s="480"/>
      <c r="H70" s="480"/>
      <c r="I70" s="480"/>
      <c r="J70" s="480"/>
      <c r="K70" s="480"/>
      <c r="L70" s="480"/>
      <c r="M70" s="480"/>
      <c r="N70" s="480"/>
    </row>
    <row r="71" spans="1:14" x14ac:dyDescent="0.4">
      <c r="A71" s="1"/>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177"/>
      <c r="E74" s="49"/>
      <c r="F74" s="49"/>
      <c r="G74" s="13"/>
      <c r="H74" s="13"/>
      <c r="I74" s="13"/>
      <c r="J74" s="13"/>
      <c r="K74" s="13"/>
      <c r="L74" s="13" t="s">
        <v>693</v>
      </c>
      <c r="M74" s="13"/>
      <c r="N74" s="13"/>
    </row>
    <row r="75" spans="1:14" ht="48.05" customHeight="1" x14ac:dyDescent="0.4">
      <c r="A75" s="9">
        <v>13</v>
      </c>
      <c r="B75" s="405" t="s">
        <v>66</v>
      </c>
      <c r="C75" s="406"/>
      <c r="D75" s="406"/>
      <c r="E75" s="406"/>
      <c r="F75" s="406"/>
      <c r="G75" s="376"/>
      <c r="H75" s="11"/>
      <c r="I75" s="11"/>
      <c r="J75" s="11"/>
      <c r="K75" s="11"/>
      <c r="L75" s="11"/>
      <c r="M75" s="11"/>
      <c r="N75" s="11"/>
    </row>
    <row r="76" spans="1:14" x14ac:dyDescent="0.4">
      <c r="A76" s="9"/>
      <c r="B76" s="8"/>
      <c r="C76" s="15"/>
      <c r="D76" s="170"/>
      <c r="E76" s="15"/>
      <c r="F76" s="15"/>
      <c r="G76" s="15"/>
      <c r="H76" s="15"/>
      <c r="I76" s="15"/>
      <c r="J76" s="15"/>
      <c r="K76" s="15"/>
      <c r="L76" s="15"/>
      <c r="M76" s="15"/>
      <c r="N76" s="15"/>
    </row>
    <row r="77" spans="1:14" ht="25.65" x14ac:dyDescent="0.4">
      <c r="A77" s="2"/>
      <c r="B77" s="50" t="s">
        <v>67</v>
      </c>
      <c r="C77" s="18" t="s">
        <v>68</v>
      </c>
      <c r="D77" s="171" t="s">
        <v>1127</v>
      </c>
      <c r="E77" s="18" t="s">
        <v>218</v>
      </c>
      <c r="F77" s="18" t="s">
        <v>71</v>
      </c>
      <c r="G77" s="18" t="s">
        <v>107</v>
      </c>
      <c r="H77" s="13"/>
      <c r="I77" s="13"/>
      <c r="J77" s="13"/>
      <c r="K77" s="13"/>
      <c r="L77" s="13"/>
      <c r="M77" s="13"/>
      <c r="N77" s="13"/>
    </row>
    <row r="78" spans="1:14" ht="25.55" customHeight="1" x14ac:dyDescent="0.4">
      <c r="A78" s="2"/>
      <c r="B78" s="411" t="s">
        <v>1271</v>
      </c>
      <c r="C78" s="207" t="s">
        <v>1191</v>
      </c>
      <c r="D78" s="284">
        <v>0.24</v>
      </c>
      <c r="E78" s="52">
        <v>0.98</v>
      </c>
      <c r="F78" s="435" t="s">
        <v>326</v>
      </c>
      <c r="G78" s="435" t="s">
        <v>220</v>
      </c>
      <c r="H78" s="53"/>
      <c r="I78" s="53"/>
      <c r="J78" s="53"/>
      <c r="K78" s="53"/>
      <c r="L78" s="53"/>
      <c r="M78" s="53"/>
      <c r="N78" s="53"/>
    </row>
    <row r="79" spans="1:14" x14ac:dyDescent="0.4">
      <c r="A79" s="2"/>
      <c r="B79" s="533"/>
      <c r="C79" s="207" t="s">
        <v>987</v>
      </c>
      <c r="D79" s="284" t="s">
        <v>1077</v>
      </c>
      <c r="E79" s="284" t="s">
        <v>1077</v>
      </c>
      <c r="F79" s="436"/>
      <c r="G79" s="436"/>
      <c r="H79" s="53"/>
      <c r="I79" s="53"/>
      <c r="J79" s="53"/>
      <c r="K79" s="53"/>
      <c r="L79" s="53"/>
      <c r="M79" s="53"/>
      <c r="N79" s="53"/>
    </row>
    <row r="80" spans="1:14" x14ac:dyDescent="0.4">
      <c r="A80" s="2"/>
      <c r="B80" s="534"/>
      <c r="C80" s="207" t="s">
        <v>74</v>
      </c>
      <c r="D80" s="284">
        <v>0</v>
      </c>
      <c r="E80" s="284">
        <v>0</v>
      </c>
      <c r="F80" s="436"/>
      <c r="G80" s="436"/>
      <c r="H80" s="53"/>
      <c r="I80" s="53"/>
      <c r="J80" s="53"/>
      <c r="K80" s="53"/>
      <c r="L80" s="53"/>
      <c r="M80" s="53"/>
      <c r="N80" s="53"/>
    </row>
    <row r="81" spans="1:14" x14ac:dyDescent="0.4">
      <c r="A81" s="2"/>
      <c r="B81" s="411" t="s">
        <v>75</v>
      </c>
      <c r="C81" s="207" t="s">
        <v>1191</v>
      </c>
      <c r="D81" s="284">
        <v>229.17</v>
      </c>
      <c r="E81" s="55">
        <f>54/0.98</f>
        <v>55.102040816326529</v>
      </c>
      <c r="F81" s="436"/>
      <c r="G81" s="436"/>
      <c r="H81" s="53"/>
      <c r="I81" s="53"/>
      <c r="J81" s="53"/>
      <c r="K81" s="53"/>
      <c r="L81" s="53"/>
      <c r="M81" s="53"/>
      <c r="N81" s="53"/>
    </row>
    <row r="82" spans="1:14" x14ac:dyDescent="0.4">
      <c r="A82" s="2"/>
      <c r="B82" s="533"/>
      <c r="C82" s="207" t="s">
        <v>987</v>
      </c>
      <c r="D82" s="284" t="s">
        <v>1077</v>
      </c>
      <c r="E82" s="284" t="s">
        <v>1077</v>
      </c>
      <c r="F82" s="436"/>
      <c r="G82" s="436"/>
      <c r="H82" s="53"/>
      <c r="I82" s="53"/>
      <c r="J82" s="53"/>
      <c r="K82" s="53"/>
      <c r="L82" s="53"/>
      <c r="M82" s="53"/>
      <c r="N82" s="53"/>
    </row>
    <row r="83" spans="1:14" x14ac:dyDescent="0.4">
      <c r="A83" s="2"/>
      <c r="B83" s="534"/>
      <c r="C83" s="207" t="s">
        <v>74</v>
      </c>
      <c r="D83" s="284">
        <v>0</v>
      </c>
      <c r="E83" s="284">
        <v>0</v>
      </c>
      <c r="F83" s="436"/>
      <c r="G83" s="436"/>
      <c r="H83" s="53"/>
      <c r="I83" s="53"/>
      <c r="J83" s="53"/>
      <c r="K83" s="53"/>
      <c r="L83" s="53"/>
      <c r="M83" s="53"/>
      <c r="N83" s="53"/>
    </row>
    <row r="84" spans="1:14" x14ac:dyDescent="0.4">
      <c r="A84" s="2"/>
      <c r="B84" s="411" t="s">
        <v>76</v>
      </c>
      <c r="C84" s="207" t="s">
        <v>1191</v>
      </c>
      <c r="D84" s="284">
        <v>45.02</v>
      </c>
      <c r="E84" s="56">
        <f>20.58/965.78</f>
        <v>2.1309200853196378E-2</v>
      </c>
      <c r="F84" s="436"/>
      <c r="G84" s="436"/>
      <c r="H84" s="53"/>
      <c r="I84" s="53"/>
      <c r="J84" s="53"/>
      <c r="K84" s="53"/>
      <c r="L84" s="53"/>
      <c r="M84" s="53"/>
      <c r="N84" s="53"/>
    </row>
    <row r="85" spans="1:14" x14ac:dyDescent="0.4">
      <c r="A85" s="2"/>
      <c r="B85" s="533"/>
      <c r="C85" s="207" t="s">
        <v>987</v>
      </c>
      <c r="D85" s="284" t="s">
        <v>1077</v>
      </c>
      <c r="E85" s="284" t="s">
        <v>1077</v>
      </c>
      <c r="F85" s="436"/>
      <c r="G85" s="436"/>
      <c r="H85" s="53"/>
      <c r="I85" s="53"/>
      <c r="J85" s="53"/>
      <c r="K85" s="53"/>
      <c r="L85" s="53"/>
      <c r="M85" s="53"/>
      <c r="N85" s="53"/>
    </row>
    <row r="86" spans="1:14" x14ac:dyDescent="0.4">
      <c r="A86" s="2"/>
      <c r="B86" s="534"/>
      <c r="C86" s="207" t="s">
        <v>74</v>
      </c>
      <c r="D86" s="284">
        <v>0</v>
      </c>
      <c r="E86" s="284">
        <v>0</v>
      </c>
      <c r="F86" s="436"/>
      <c r="G86" s="436"/>
      <c r="H86" s="53"/>
      <c r="I86" s="53"/>
      <c r="J86" s="53"/>
      <c r="K86" s="53"/>
      <c r="L86" s="53"/>
      <c r="M86" s="53"/>
      <c r="N86" s="53"/>
    </row>
    <row r="87" spans="1:14" x14ac:dyDescent="0.4">
      <c r="A87" s="2"/>
      <c r="B87" s="603" t="s">
        <v>77</v>
      </c>
      <c r="C87" s="207" t="s">
        <v>1191</v>
      </c>
      <c r="D87" s="284">
        <v>29.26</v>
      </c>
      <c r="E87" s="55">
        <f>965.78/32.44</f>
        <v>29.771270036991371</v>
      </c>
      <c r="F87" s="436"/>
      <c r="G87" s="436"/>
      <c r="H87" s="53"/>
      <c r="I87" s="53"/>
      <c r="J87" s="53"/>
      <c r="K87" s="53"/>
      <c r="L87" s="53"/>
      <c r="M87" s="53"/>
      <c r="N87" s="53"/>
    </row>
    <row r="88" spans="1:14" x14ac:dyDescent="0.4">
      <c r="A88" s="2"/>
      <c r="B88" s="604"/>
      <c r="C88" s="207" t="s">
        <v>987</v>
      </c>
      <c r="D88" s="284" t="s">
        <v>1077</v>
      </c>
      <c r="E88" s="284" t="s">
        <v>1077</v>
      </c>
      <c r="F88" s="436"/>
      <c r="G88" s="436"/>
      <c r="H88" s="53"/>
      <c r="I88" s="53"/>
      <c r="J88" s="53"/>
      <c r="K88" s="53"/>
      <c r="L88" s="53"/>
      <c r="M88" s="53"/>
      <c r="N88" s="53"/>
    </row>
    <row r="89" spans="1:14" ht="15.05" customHeight="1" x14ac:dyDescent="0.4">
      <c r="A89" s="2"/>
      <c r="B89" s="604"/>
      <c r="C89" s="3" t="s">
        <v>74</v>
      </c>
      <c r="D89" s="284">
        <v>0</v>
      </c>
      <c r="E89" s="284">
        <v>0</v>
      </c>
      <c r="F89" s="547"/>
      <c r="G89" s="547"/>
      <c r="H89" s="53"/>
      <c r="I89" s="53"/>
      <c r="J89" s="53"/>
      <c r="K89" s="53"/>
      <c r="L89" s="53"/>
      <c r="M89" s="53"/>
      <c r="N89" s="53"/>
    </row>
    <row r="90" spans="1:14" ht="15.8" customHeight="1" x14ac:dyDescent="0.4">
      <c r="A90" s="8"/>
      <c r="B90" s="630" t="s">
        <v>1192</v>
      </c>
      <c r="C90" s="630"/>
      <c r="D90" s="630"/>
      <c r="E90" s="630"/>
      <c r="F90" s="630"/>
      <c r="G90" s="630"/>
      <c r="H90" s="53"/>
      <c r="I90" s="53"/>
      <c r="J90" s="8"/>
      <c r="K90" s="8"/>
      <c r="L90" s="8"/>
      <c r="M90" s="8"/>
      <c r="N90" s="8"/>
    </row>
    <row r="91" spans="1:14" ht="26.3" customHeight="1" x14ac:dyDescent="0.4">
      <c r="A91" s="9">
        <v>14</v>
      </c>
      <c r="B91" s="631" t="s">
        <v>989</v>
      </c>
      <c r="C91" s="631"/>
      <c r="D91" s="631"/>
      <c r="E91" s="631"/>
      <c r="F91" s="631"/>
      <c r="G91" s="631"/>
      <c r="H91" s="8"/>
      <c r="I91" s="8"/>
      <c r="J91" s="8"/>
      <c r="K91" s="8"/>
      <c r="L91" s="8"/>
      <c r="M91" s="8"/>
      <c r="N91" s="8"/>
    </row>
    <row r="92" spans="1:14" x14ac:dyDescent="0.4">
      <c r="A92" s="23"/>
      <c r="B92" s="61" t="s">
        <v>78</v>
      </c>
      <c r="C92" s="497" t="s">
        <v>41</v>
      </c>
      <c r="D92" s="497"/>
      <c r="E92" s="497"/>
      <c r="F92" s="497"/>
      <c r="G92" s="497"/>
      <c r="H92" s="8"/>
      <c r="I92" s="8"/>
      <c r="J92" s="8"/>
      <c r="K92" s="8"/>
      <c r="L92" s="8"/>
      <c r="M92" s="8"/>
      <c r="N92" s="8"/>
    </row>
    <row r="93" spans="1:14" x14ac:dyDescent="0.4">
      <c r="A93" s="8"/>
      <c r="B93" s="8"/>
      <c r="C93" s="10"/>
      <c r="D93" s="208"/>
      <c r="E93" s="200"/>
      <c r="F93" s="200"/>
      <c r="G93" s="200"/>
      <c r="H93" s="8"/>
      <c r="I93" s="8"/>
      <c r="J93" s="8"/>
      <c r="K93" s="8"/>
      <c r="L93" s="8"/>
      <c r="M93" s="8"/>
      <c r="N93" s="8"/>
    </row>
    <row r="94" spans="1:14" x14ac:dyDescent="0.4">
      <c r="A94" s="8"/>
      <c r="B94" s="8"/>
      <c r="C94" s="8"/>
      <c r="D94" s="208"/>
      <c r="H94" s="8"/>
      <c r="I94" s="8"/>
      <c r="J94" s="8"/>
      <c r="K94" s="8"/>
      <c r="L94" s="8"/>
      <c r="M94" s="8"/>
      <c r="N94" s="8"/>
    </row>
    <row r="95" spans="1:14" ht="15.05" customHeight="1" x14ac:dyDescent="0.4">
      <c r="A95" s="8"/>
      <c r="B95" s="8"/>
      <c r="C95" s="8"/>
      <c r="D95" s="167"/>
      <c r="H95" s="200"/>
      <c r="I95" s="8"/>
      <c r="J95" s="8"/>
      <c r="K95" s="8"/>
      <c r="L95" s="8"/>
      <c r="M95" s="8"/>
      <c r="N95" s="8"/>
    </row>
    <row r="96" spans="1:14" ht="15.05" customHeight="1" x14ac:dyDescent="0.4">
      <c r="B96" s="538" t="s">
        <v>1256</v>
      </c>
      <c r="C96" s="538"/>
      <c r="D96" s="538"/>
      <c r="E96" s="538"/>
      <c r="F96" s="538"/>
      <c r="G96" s="538"/>
    </row>
    <row r="97" spans="2:7" ht="15.05" customHeight="1" x14ac:dyDescent="0.4">
      <c r="B97" s="515" t="s">
        <v>1234</v>
      </c>
      <c r="C97" s="515"/>
      <c r="D97" s="515"/>
      <c r="E97" s="515"/>
      <c r="F97" s="515"/>
      <c r="G97" s="515"/>
    </row>
    <row r="98" spans="2:7" x14ac:dyDescent="0.4">
      <c r="C98" s="228"/>
      <c r="D98" s="228"/>
    </row>
    <row r="99" spans="2:7" x14ac:dyDescent="0.4">
      <c r="C99" s="238"/>
    </row>
    <row r="100" spans="2:7" x14ac:dyDescent="0.4">
      <c r="C100" s="228"/>
      <c r="D100" s="228"/>
    </row>
    <row r="101" spans="2:7" x14ac:dyDescent="0.4">
      <c r="C101" s="228"/>
    </row>
  </sheetData>
  <sheetProtection algorithmName="SHA-512" hashValue="TAJrmjOifBWOemHjezA6M30uHmVYI4jOx7YP3/NFoWzuMwqcHdJcKune++tTQnJ6sYBy3Z8kWXhgO9dN1IlAtQ==" saltValue="lCttuwPTiXXldF4SEpf8+Q==" spinCount="100000" sheet="1" objects="1" scenarios="1"/>
  <mergeCells count="67">
    <mergeCell ref="C20:E20"/>
    <mergeCell ref="A1:B1"/>
    <mergeCell ref="C5:E5"/>
    <mergeCell ref="C11:E11"/>
    <mergeCell ref="B17:E17"/>
    <mergeCell ref="C18:E18"/>
    <mergeCell ref="C19:E19"/>
    <mergeCell ref="C8:E8"/>
    <mergeCell ref="B9:E9"/>
    <mergeCell ref="B12:E12"/>
    <mergeCell ref="C14:E14"/>
    <mergeCell ref="B31:E31"/>
    <mergeCell ref="B33:E33"/>
    <mergeCell ref="C34:E34"/>
    <mergeCell ref="C35:E35"/>
    <mergeCell ref="C36:E36"/>
    <mergeCell ref="C21:E21"/>
    <mergeCell ref="C22:E22"/>
    <mergeCell ref="B24:E24"/>
    <mergeCell ref="B25:E25"/>
    <mergeCell ref="D27:D30"/>
    <mergeCell ref="E27:E30"/>
    <mergeCell ref="C53:E53"/>
    <mergeCell ref="B38:E38"/>
    <mergeCell ref="C39:E39"/>
    <mergeCell ref="C40:E40"/>
    <mergeCell ref="C41:E41"/>
    <mergeCell ref="B42:E42"/>
    <mergeCell ref="B44:E44"/>
    <mergeCell ref="B47:E47"/>
    <mergeCell ref="B49:E49"/>
    <mergeCell ref="B50:B51"/>
    <mergeCell ref="C50:E51"/>
    <mergeCell ref="C52:E52"/>
    <mergeCell ref="F63:H63"/>
    <mergeCell ref="I63:K63"/>
    <mergeCell ref="L63:N63"/>
    <mergeCell ref="C67:N67"/>
    <mergeCell ref="B68:N68"/>
    <mergeCell ref="B54:E54"/>
    <mergeCell ref="B55:E55"/>
    <mergeCell ref="C57:E57"/>
    <mergeCell ref="B63:B64"/>
    <mergeCell ref="C63:C64"/>
    <mergeCell ref="D63:D64"/>
    <mergeCell ref="E63:E64"/>
    <mergeCell ref="G78:G89"/>
    <mergeCell ref="B81:B83"/>
    <mergeCell ref="B84:B86"/>
    <mergeCell ref="B87:B89"/>
    <mergeCell ref="B69:N69"/>
    <mergeCell ref="B97:G97"/>
    <mergeCell ref="B15:E15"/>
    <mergeCell ref="C3:E3"/>
    <mergeCell ref="B6:E6"/>
    <mergeCell ref="C61:E61"/>
    <mergeCell ref="C92:G92"/>
    <mergeCell ref="B90:G90"/>
    <mergeCell ref="B91:G91"/>
    <mergeCell ref="B96:G96"/>
    <mergeCell ref="B70:N70"/>
    <mergeCell ref="B71:N71"/>
    <mergeCell ref="B72:N72"/>
    <mergeCell ref="B73:N73"/>
    <mergeCell ref="B75:G75"/>
    <mergeCell ref="B78:B80"/>
    <mergeCell ref="F78:F89"/>
  </mergeCells>
  <pageMargins left="0" right="0" top="0.42499999999999999" bottom="0.75" header="0.10625" footer="0.3"/>
  <pageSetup paperSize="5" scale="80" orientation="landscape" verticalDpi="300" r:id="rId1"/>
  <rowBreaks count="2" manualBreakCount="2">
    <brk id="36" max="16383" man="1"/>
    <brk id="58" max="1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N101"/>
  <sheetViews>
    <sheetView view="pageBreakPreview" zoomScale="90" zoomScaleNormal="100" zoomScaleSheetLayoutView="90" zoomScalePageLayoutView="50" workbookViewId="0">
      <selection activeCell="B10" sqref="B10"/>
    </sheetView>
  </sheetViews>
  <sheetFormatPr defaultRowHeight="14.6" x14ac:dyDescent="0.4"/>
  <cols>
    <col min="1" max="1" width="6.4609375" bestFit="1" customWidth="1"/>
    <col min="2" max="2" width="46" bestFit="1" customWidth="1"/>
    <col min="3" max="3" width="19.53515625" customWidth="1"/>
    <col min="4" max="4" width="18.07421875" customWidth="1"/>
    <col min="5" max="5" width="18.69140625" customWidth="1"/>
    <col min="6" max="6" width="9.3046875" bestFit="1" customWidth="1"/>
    <col min="7" max="7" width="9.07421875" customWidth="1"/>
    <col min="8" max="8" width="10" bestFit="1" customWidth="1"/>
    <col min="9" max="9" width="7.07421875" bestFit="1" customWidth="1"/>
    <col min="10" max="10" width="9.07421875" bestFit="1" customWidth="1"/>
    <col min="11"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1193</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1194</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1195</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25.65" x14ac:dyDescent="0.4">
      <c r="A19" s="9"/>
      <c r="B19" s="14" t="s">
        <v>1080</v>
      </c>
      <c r="C19" s="625">
        <v>7.4300000000000005E-2</v>
      </c>
      <c r="D19" s="606"/>
      <c r="E19" s="607"/>
      <c r="F19" s="15"/>
      <c r="G19" s="13" t="s">
        <v>693</v>
      </c>
      <c r="H19" s="8"/>
      <c r="I19" s="13"/>
      <c r="J19" s="13"/>
      <c r="K19" s="13"/>
      <c r="L19" s="13"/>
      <c r="M19" s="13"/>
      <c r="N19" s="13"/>
    </row>
    <row r="20" spans="1:14" ht="15.05" customHeight="1" x14ac:dyDescent="0.4">
      <c r="A20" s="9"/>
      <c r="B20" s="14" t="s">
        <v>605</v>
      </c>
      <c r="C20" s="625">
        <v>7.4300000000000005E-2</v>
      </c>
      <c r="D20" s="606"/>
      <c r="E20" s="60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c r="B24" s="15"/>
      <c r="C24" s="15"/>
      <c r="D24" s="170"/>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c r="K25" s="8"/>
      <c r="L25" s="8"/>
      <c r="M25" s="8"/>
      <c r="N25" s="8"/>
    </row>
    <row r="26" spans="1:14" x14ac:dyDescent="0.4">
      <c r="A26" s="9"/>
      <c r="B26" s="370" t="s">
        <v>19</v>
      </c>
      <c r="C26" s="371"/>
      <c r="D26" s="371"/>
      <c r="E26" s="372"/>
      <c r="F26" s="15"/>
      <c r="G26" s="8"/>
      <c r="H26" s="8"/>
      <c r="I26" s="8"/>
      <c r="J26" s="8"/>
      <c r="K26" s="8"/>
      <c r="L26" s="8"/>
      <c r="M26" s="8"/>
      <c r="N26" s="8"/>
    </row>
    <row r="27" spans="1:14" x14ac:dyDescent="0.4">
      <c r="A27" s="9"/>
      <c r="B27" s="17" t="s">
        <v>20</v>
      </c>
      <c r="C27" s="18" t="s">
        <v>202</v>
      </c>
      <c r="D27" s="171" t="s">
        <v>22</v>
      </c>
      <c r="E27" s="18" t="s">
        <v>23</v>
      </c>
      <c r="F27" s="15"/>
      <c r="G27" s="8"/>
      <c r="H27" s="8"/>
      <c r="I27" s="8"/>
      <c r="J27" s="8"/>
      <c r="K27" s="8"/>
      <c r="L27" s="8"/>
      <c r="M27" s="8"/>
      <c r="N27" s="8"/>
    </row>
    <row r="28" spans="1:14" ht="15.05" customHeight="1" x14ac:dyDescent="0.4">
      <c r="A28" s="9"/>
      <c r="B28" s="19" t="s">
        <v>1272</v>
      </c>
      <c r="C28" s="303">
        <v>8016.82</v>
      </c>
      <c r="D28" s="592" t="s">
        <v>264</v>
      </c>
      <c r="E28" s="540" t="s">
        <v>203</v>
      </c>
      <c r="F28" s="15"/>
      <c r="G28" s="8"/>
      <c r="H28" s="8"/>
      <c r="I28" s="8"/>
      <c r="J28" s="8"/>
      <c r="K28" s="8"/>
      <c r="L28" s="8"/>
      <c r="M28" s="8"/>
      <c r="N28" s="8"/>
    </row>
    <row r="29" spans="1:14" x14ac:dyDescent="0.4">
      <c r="A29" s="9"/>
      <c r="B29" s="19" t="s">
        <v>25</v>
      </c>
      <c r="C29" s="303">
        <v>741.14</v>
      </c>
      <c r="D29" s="593"/>
      <c r="E29" s="541"/>
      <c r="F29" s="15"/>
      <c r="G29" s="8"/>
      <c r="H29" s="8"/>
      <c r="I29" s="8"/>
      <c r="J29" s="8"/>
      <c r="K29" s="8"/>
      <c r="L29" s="8"/>
      <c r="M29" s="8"/>
      <c r="N29" s="8"/>
    </row>
    <row r="30" spans="1:14" x14ac:dyDescent="0.4">
      <c r="A30" s="9"/>
      <c r="B30" s="19" t="s">
        <v>26</v>
      </c>
      <c r="C30" s="303">
        <v>883.54</v>
      </c>
      <c r="D30" s="593"/>
      <c r="E30" s="541"/>
      <c r="F30" s="15"/>
      <c r="G30" s="8"/>
      <c r="H30" s="8"/>
      <c r="I30" s="8"/>
      <c r="J30" s="8"/>
      <c r="K30" s="8"/>
      <c r="L30" s="8"/>
      <c r="M30" s="8"/>
      <c r="N30" s="8"/>
    </row>
    <row r="31" spans="1:14" x14ac:dyDescent="0.4">
      <c r="A31" s="9"/>
      <c r="B31" s="19" t="s">
        <v>27</v>
      </c>
      <c r="C31" s="303">
        <v>766.01</v>
      </c>
      <c r="D31" s="594"/>
      <c r="E31" s="542"/>
      <c r="F31" s="15"/>
      <c r="G31" s="8"/>
      <c r="H31" s="8"/>
      <c r="I31" s="8"/>
      <c r="J31" s="8"/>
      <c r="K31" s="8"/>
      <c r="L31" s="8"/>
      <c r="M31" s="8"/>
      <c r="N31" s="8"/>
    </row>
    <row r="32" spans="1:14" x14ac:dyDescent="0.4">
      <c r="A32" s="9"/>
      <c r="B32" s="363" t="s">
        <v>709</v>
      </c>
      <c r="C32" s="368"/>
      <c r="D32" s="368"/>
      <c r="E32" s="369"/>
      <c r="F32" s="15"/>
      <c r="G32" s="8"/>
      <c r="H32" s="8"/>
      <c r="I32" s="8"/>
      <c r="J32" s="8"/>
      <c r="K32" s="8"/>
      <c r="L32" s="8"/>
      <c r="M32" s="8"/>
      <c r="N32" s="8"/>
    </row>
    <row r="33" spans="1:14" x14ac:dyDescent="0.4">
      <c r="A33" s="9"/>
      <c r="B33" s="13"/>
      <c r="C33" s="15"/>
      <c r="D33" s="170"/>
      <c r="E33" s="15"/>
      <c r="F33" s="15"/>
      <c r="G33" s="8"/>
      <c r="H33" s="8"/>
      <c r="I33" s="8"/>
      <c r="J33" s="8"/>
      <c r="K33" s="8"/>
      <c r="L33" s="8"/>
      <c r="M33" s="8"/>
      <c r="N33" s="8"/>
    </row>
    <row r="34" spans="1:14" x14ac:dyDescent="0.4">
      <c r="A34" s="9">
        <v>7</v>
      </c>
      <c r="B34" s="365" t="s">
        <v>28</v>
      </c>
      <c r="C34" s="365"/>
      <c r="D34" s="365"/>
      <c r="E34" s="365"/>
      <c r="F34" s="11"/>
      <c r="G34" s="11"/>
      <c r="H34" s="11"/>
      <c r="I34" s="11"/>
      <c r="J34" s="11"/>
      <c r="K34" s="8"/>
      <c r="L34" s="8"/>
      <c r="M34" s="8"/>
      <c r="N34" s="8"/>
    </row>
    <row r="35" spans="1:14" x14ac:dyDescent="0.4">
      <c r="A35" s="9"/>
      <c r="B35" s="17" t="s">
        <v>29</v>
      </c>
      <c r="C35" s="446" t="s">
        <v>30</v>
      </c>
      <c r="D35" s="446"/>
      <c r="E35" s="446"/>
      <c r="F35" s="13"/>
      <c r="G35" s="8"/>
      <c r="H35" s="8"/>
      <c r="I35" s="8"/>
      <c r="J35" s="8"/>
      <c r="K35" s="8"/>
      <c r="L35" s="8"/>
      <c r="M35" s="8"/>
      <c r="N35" s="8"/>
    </row>
    <row r="36" spans="1:14" x14ac:dyDescent="0.4">
      <c r="A36" s="9"/>
      <c r="B36" s="17" t="s">
        <v>31</v>
      </c>
      <c r="C36" s="446" t="s">
        <v>320</v>
      </c>
      <c r="D36" s="446"/>
      <c r="E36" s="446"/>
      <c r="F36" s="13"/>
      <c r="G36" s="8"/>
      <c r="H36" s="8"/>
      <c r="I36" s="8"/>
      <c r="J36" s="8"/>
      <c r="K36" s="8"/>
      <c r="L36" s="8"/>
      <c r="M36" s="8"/>
      <c r="N36" s="8"/>
    </row>
    <row r="37" spans="1:14" x14ac:dyDescent="0.4">
      <c r="A37" s="9"/>
      <c r="B37" s="17" t="s">
        <v>32</v>
      </c>
      <c r="C37" s="446" t="s">
        <v>201</v>
      </c>
      <c r="D37" s="446"/>
      <c r="E37" s="446"/>
      <c r="F37" s="13"/>
      <c r="G37" s="8"/>
      <c r="H37" s="8"/>
      <c r="I37" s="8"/>
      <c r="J37" s="8"/>
      <c r="K37" s="8"/>
      <c r="L37" s="8"/>
      <c r="M37" s="8"/>
      <c r="N37" s="8"/>
    </row>
    <row r="38" spans="1:14" x14ac:dyDescent="0.4">
      <c r="A38" s="9"/>
      <c r="B38" s="8"/>
      <c r="C38" s="13"/>
      <c r="D38" s="169"/>
      <c r="E38" s="13"/>
      <c r="F38" s="13"/>
      <c r="G38" s="8"/>
      <c r="H38" s="8"/>
      <c r="I38" s="8"/>
      <c r="J38" s="8"/>
      <c r="K38" s="8"/>
      <c r="L38" s="8"/>
      <c r="M38" s="8"/>
      <c r="N38" s="8"/>
    </row>
    <row r="39" spans="1:14" x14ac:dyDescent="0.4">
      <c r="A39" s="9"/>
      <c r="B39" s="15"/>
      <c r="C39" s="13"/>
      <c r="D39" s="169"/>
      <c r="E39" s="13"/>
      <c r="F39" s="13"/>
      <c r="G39" s="8"/>
      <c r="H39" s="8"/>
      <c r="I39" s="8"/>
      <c r="J39" s="8"/>
      <c r="K39" s="8"/>
      <c r="L39" s="8"/>
      <c r="M39" s="8"/>
      <c r="N39" s="8"/>
    </row>
    <row r="40" spans="1:14" x14ac:dyDescent="0.4">
      <c r="A40" s="9">
        <v>8</v>
      </c>
      <c r="B40" s="365" t="s">
        <v>1084</v>
      </c>
      <c r="C40" s="365"/>
      <c r="D40" s="365"/>
      <c r="E40" s="365"/>
      <c r="F40" s="11"/>
      <c r="G40" s="11"/>
      <c r="H40" s="11"/>
      <c r="I40" s="11"/>
      <c r="J40" s="11"/>
      <c r="K40" s="8"/>
      <c r="L40" s="8"/>
      <c r="M40" s="8"/>
      <c r="N40" s="8"/>
    </row>
    <row r="41" spans="1:14" ht="15.05" customHeight="1" x14ac:dyDescent="0.4">
      <c r="A41" s="9"/>
      <c r="B41" s="17" t="s">
        <v>34</v>
      </c>
      <c r="C41" s="373" t="s">
        <v>730</v>
      </c>
      <c r="D41" s="374"/>
      <c r="E41" s="375"/>
      <c r="F41" s="13"/>
      <c r="G41" s="8"/>
      <c r="H41" s="8"/>
      <c r="I41" s="8"/>
      <c r="J41" s="8"/>
      <c r="K41" s="8"/>
      <c r="L41" s="8"/>
      <c r="M41" s="8"/>
      <c r="N41" s="8"/>
    </row>
    <row r="42" spans="1:14" x14ac:dyDescent="0.4">
      <c r="A42" s="9"/>
      <c r="B42" s="17" t="s">
        <v>31</v>
      </c>
      <c r="C42" s="373" t="s">
        <v>320</v>
      </c>
      <c r="D42" s="374"/>
      <c r="E42" s="375"/>
      <c r="F42" s="13"/>
      <c r="G42" s="8"/>
      <c r="H42" s="8"/>
      <c r="I42" s="8"/>
      <c r="J42" s="8"/>
      <c r="K42" s="8"/>
      <c r="L42" s="8"/>
      <c r="M42" s="8"/>
      <c r="N42" s="8"/>
    </row>
    <row r="43" spans="1:14" x14ac:dyDescent="0.4">
      <c r="A43" s="9"/>
      <c r="B43" s="17" t="s">
        <v>32</v>
      </c>
      <c r="C43" s="446" t="s">
        <v>201</v>
      </c>
      <c r="D43" s="446"/>
      <c r="E43" s="446"/>
      <c r="F43" s="13"/>
      <c r="G43" s="8"/>
      <c r="H43" s="8"/>
      <c r="I43" s="8"/>
      <c r="J43" s="8"/>
      <c r="K43" s="8"/>
      <c r="L43" s="8"/>
      <c r="M43" s="8"/>
      <c r="N43" s="8"/>
    </row>
    <row r="44" spans="1:14" x14ac:dyDescent="0.4">
      <c r="A44" s="9"/>
      <c r="B44" s="363" t="s">
        <v>848</v>
      </c>
      <c r="C44" s="368"/>
      <c r="D44" s="368"/>
      <c r="E44" s="369"/>
      <c r="F44" s="13"/>
      <c r="G44" s="8"/>
      <c r="H44" s="8"/>
      <c r="I44" s="8"/>
      <c r="J44" s="8"/>
      <c r="K44" s="8"/>
      <c r="L44" s="8"/>
      <c r="M44" s="8"/>
      <c r="N44" s="8"/>
    </row>
    <row r="45" spans="1:14" x14ac:dyDescent="0.4">
      <c r="A45" s="2"/>
      <c r="B45" s="8"/>
      <c r="C45" s="8"/>
      <c r="D45" s="173"/>
      <c r="E45" s="13"/>
      <c r="F45" s="8"/>
      <c r="G45" s="8"/>
      <c r="H45" s="8"/>
      <c r="I45" s="8"/>
      <c r="J45" s="8"/>
      <c r="K45" s="8"/>
      <c r="L45" s="8"/>
      <c r="M45" s="8"/>
      <c r="N45" s="8"/>
    </row>
    <row r="46" spans="1:14" x14ac:dyDescent="0.4">
      <c r="A46" s="24">
        <v>9</v>
      </c>
      <c r="B46" s="376" t="s">
        <v>1085</v>
      </c>
      <c r="C46" s="365"/>
      <c r="D46" s="365"/>
      <c r="E46" s="365"/>
      <c r="F46" s="25"/>
      <c r="G46" s="11"/>
      <c r="H46" s="11"/>
      <c r="I46" s="11"/>
      <c r="J46" s="8"/>
      <c r="K46" s="8"/>
      <c r="L46" s="8"/>
      <c r="M46" s="8"/>
      <c r="N46" s="8"/>
    </row>
    <row r="47" spans="1:14" ht="38.450000000000003" x14ac:dyDescent="0.4">
      <c r="A47" s="24"/>
      <c r="B47" s="26" t="s">
        <v>37</v>
      </c>
      <c r="C47" s="27" t="s">
        <v>38</v>
      </c>
      <c r="D47" s="174" t="s">
        <v>39</v>
      </c>
      <c r="E47" s="27" t="s">
        <v>206</v>
      </c>
      <c r="F47" s="8"/>
      <c r="G47" s="8"/>
      <c r="H47" s="8"/>
      <c r="I47" s="8"/>
      <c r="J47" s="8"/>
      <c r="K47" s="8"/>
      <c r="L47" s="8"/>
      <c r="M47" s="8"/>
      <c r="N47" s="8"/>
    </row>
    <row r="48" spans="1:14" ht="26.5" x14ac:dyDescent="0.4">
      <c r="A48" s="29"/>
      <c r="B48" s="78" t="s">
        <v>1196</v>
      </c>
      <c r="C48" s="78" t="s">
        <v>1196</v>
      </c>
      <c r="D48" s="229" t="s">
        <v>186</v>
      </c>
      <c r="E48" s="117" t="s">
        <v>186</v>
      </c>
      <c r="F48" s="8"/>
      <c r="G48" s="8"/>
      <c r="H48" s="8"/>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21.75" customHeight="1" x14ac:dyDescent="0.4">
      <c r="A51" s="29"/>
      <c r="B51" s="632" t="s">
        <v>43</v>
      </c>
      <c r="C51" s="519" t="s">
        <v>1196</v>
      </c>
      <c r="D51" s="520"/>
      <c r="E51" s="634"/>
      <c r="F51" s="8"/>
      <c r="G51" s="8"/>
      <c r="H51" s="8"/>
      <c r="I51" s="8"/>
      <c r="J51" s="8"/>
      <c r="K51" s="1"/>
      <c r="L51" s="8"/>
      <c r="M51" s="8"/>
      <c r="N51" s="8"/>
    </row>
    <row r="52" spans="1:14" ht="26.4" customHeight="1" x14ac:dyDescent="0.4">
      <c r="A52" s="29"/>
      <c r="B52" s="633"/>
      <c r="C52" s="555"/>
      <c r="D52" s="556"/>
      <c r="E52" s="557"/>
      <c r="F52" s="8"/>
      <c r="G52" s="8"/>
      <c r="H52" s="8"/>
      <c r="I52" s="8"/>
      <c r="J52" s="8"/>
      <c r="K52" s="1"/>
      <c r="L52" s="8"/>
      <c r="M52" s="8"/>
      <c r="N52" s="8"/>
    </row>
    <row r="53" spans="1:14" x14ac:dyDescent="0.4">
      <c r="A53" s="24"/>
      <c r="B53" s="33" t="s">
        <v>44</v>
      </c>
      <c r="C53" s="391" t="s">
        <v>186</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x14ac:dyDescent="0.4">
      <c r="A55" s="35" t="s">
        <v>47</v>
      </c>
      <c r="B55" s="392" t="s">
        <v>48</v>
      </c>
      <c r="C55" s="392"/>
      <c r="D55" s="392"/>
      <c r="E55" s="392"/>
      <c r="F55" s="63"/>
      <c r="G55" s="63"/>
      <c r="H55" s="63"/>
      <c r="I55" s="63"/>
      <c r="J55" s="63"/>
      <c r="K55" s="63"/>
      <c r="L55" s="63"/>
      <c r="M55" s="63"/>
      <c r="N55" s="63"/>
    </row>
    <row r="56" spans="1:14" x14ac:dyDescent="0.4">
      <c r="A56" s="40"/>
      <c r="B56" s="41"/>
      <c r="C56" s="42"/>
      <c r="D56" s="175"/>
      <c r="E56" s="42"/>
      <c r="F56" s="42"/>
      <c r="G56" s="8"/>
      <c r="H56" s="8"/>
      <c r="I56" s="8"/>
      <c r="J56" s="8"/>
      <c r="K56" s="8"/>
      <c r="L56" s="8"/>
      <c r="M56" s="8"/>
      <c r="N56" s="8"/>
    </row>
    <row r="57" spans="1:14" x14ac:dyDescent="0.4">
      <c r="A57" s="9">
        <v>11</v>
      </c>
      <c r="B57" s="3" t="s">
        <v>49</v>
      </c>
      <c r="C57" s="580" t="s">
        <v>851</v>
      </c>
      <c r="D57" s="580"/>
      <c r="E57" s="580"/>
      <c r="F57" s="11"/>
      <c r="G57" s="11"/>
      <c r="H57" s="43"/>
      <c r="I57" s="11"/>
      <c r="J57" s="11"/>
      <c r="K57" s="8"/>
      <c r="L57" s="8"/>
      <c r="M57" s="8"/>
      <c r="N57" s="8"/>
    </row>
    <row r="58" spans="1:14" x14ac:dyDescent="0.4">
      <c r="A58" s="9"/>
      <c r="B58" s="15"/>
      <c r="C58" s="15"/>
      <c r="D58" s="170"/>
      <c r="E58" s="15"/>
      <c r="F58" s="15"/>
      <c r="G58" s="15"/>
      <c r="H58" s="44"/>
      <c r="I58" s="44"/>
      <c r="J58" s="15"/>
      <c r="K58" s="8"/>
      <c r="L58" s="8"/>
      <c r="M58" s="8"/>
      <c r="N58" s="8"/>
    </row>
    <row r="59" spans="1:14" x14ac:dyDescent="0.4">
      <c r="A59" s="9">
        <v>12</v>
      </c>
      <c r="B59" s="11" t="s">
        <v>51</v>
      </c>
      <c r="C59" s="11"/>
      <c r="D59" s="176"/>
      <c r="E59" s="43"/>
      <c r="F59" s="43"/>
      <c r="G59" s="11"/>
      <c r="H59" s="11"/>
      <c r="I59" s="11"/>
      <c r="J59" s="11"/>
      <c r="K59" s="11"/>
      <c r="L59" s="11"/>
      <c r="M59" s="11"/>
      <c r="N59" s="11"/>
    </row>
    <row r="60" spans="1:14" x14ac:dyDescent="0.4">
      <c r="A60" s="9"/>
      <c r="B60" s="11"/>
      <c r="C60" s="11"/>
      <c r="D60" s="176"/>
      <c r="E60" s="43"/>
      <c r="F60" s="43"/>
      <c r="G60" s="43"/>
      <c r="H60" s="11"/>
      <c r="I60" s="11"/>
      <c r="J60" s="11"/>
      <c r="K60" s="11"/>
      <c r="L60" s="11"/>
      <c r="M60" s="11"/>
      <c r="N60" s="11"/>
    </row>
    <row r="61" spans="1:14" x14ac:dyDescent="0.4">
      <c r="A61" s="9"/>
      <c r="B61" s="17" t="s">
        <v>52</v>
      </c>
      <c r="C61" s="446" t="s">
        <v>1197</v>
      </c>
      <c r="D61" s="446"/>
      <c r="E61" s="446"/>
      <c r="F61" s="44"/>
      <c r="G61" s="44"/>
      <c r="H61" s="15"/>
      <c r="I61" s="15"/>
      <c r="J61" s="15"/>
      <c r="K61" s="15"/>
      <c r="L61" s="15"/>
      <c r="M61" s="15"/>
      <c r="N61" s="15"/>
    </row>
    <row r="62" spans="1:14" x14ac:dyDescent="0.4">
      <c r="A62" s="9"/>
      <c r="B62" s="15"/>
      <c r="C62" s="15"/>
      <c r="D62" s="236"/>
      <c r="E62" s="118"/>
      <c r="F62" s="15"/>
      <c r="G62" s="15"/>
      <c r="H62" s="118"/>
      <c r="I62" s="15"/>
      <c r="J62" s="118"/>
      <c r="K62" s="15"/>
      <c r="L62" s="15"/>
      <c r="M62" s="15"/>
      <c r="N62" s="15"/>
    </row>
    <row r="63" spans="1:14" x14ac:dyDescent="0.4">
      <c r="A63" s="9"/>
      <c r="B63" s="365" t="s">
        <v>53</v>
      </c>
      <c r="C63" s="366" t="s">
        <v>1198</v>
      </c>
      <c r="D63" s="558" t="s">
        <v>271</v>
      </c>
      <c r="E63" s="403" t="s">
        <v>232</v>
      </c>
      <c r="F63" s="395" t="s">
        <v>626</v>
      </c>
      <c r="G63" s="396"/>
      <c r="H63" s="397"/>
      <c r="I63" s="398" t="s">
        <v>55</v>
      </c>
      <c r="J63" s="398"/>
      <c r="K63" s="398"/>
      <c r="L63" s="398" t="s">
        <v>56</v>
      </c>
      <c r="M63" s="398"/>
      <c r="N63" s="398"/>
    </row>
    <row r="64" spans="1:14" ht="38.450000000000003" x14ac:dyDescent="0.4">
      <c r="A64" s="2"/>
      <c r="B64" s="365"/>
      <c r="C64" s="402"/>
      <c r="D64" s="559"/>
      <c r="E64" s="404"/>
      <c r="F64" s="17" t="s">
        <v>57</v>
      </c>
      <c r="G64" s="17" t="s">
        <v>58</v>
      </c>
      <c r="H64" s="17" t="s">
        <v>59</v>
      </c>
      <c r="I64" s="17" t="s">
        <v>60</v>
      </c>
      <c r="J64" s="17" t="s">
        <v>58</v>
      </c>
      <c r="K64" s="17" t="s">
        <v>59</v>
      </c>
      <c r="L64" s="17" t="s">
        <v>60</v>
      </c>
      <c r="M64" s="17" t="s">
        <v>58</v>
      </c>
      <c r="N64" s="17" t="s">
        <v>59</v>
      </c>
    </row>
    <row r="65" spans="1:14" x14ac:dyDescent="0.4">
      <c r="A65" s="2"/>
      <c r="B65" s="17" t="s">
        <v>61</v>
      </c>
      <c r="C65" s="284">
        <v>174.8</v>
      </c>
      <c r="D65" s="101">
        <v>167.5</v>
      </c>
      <c r="E65" s="101" t="s">
        <v>1189</v>
      </c>
      <c r="F65" s="101">
        <v>173</v>
      </c>
      <c r="G65" s="101">
        <v>197</v>
      </c>
      <c r="H65" s="101">
        <v>126</v>
      </c>
      <c r="I65" s="101" t="s">
        <v>41</v>
      </c>
      <c r="J65" s="101" t="s">
        <v>41</v>
      </c>
      <c r="K65" s="101" t="s">
        <v>41</v>
      </c>
      <c r="L65" s="101" t="s">
        <v>41</v>
      </c>
      <c r="M65" s="101" t="s">
        <v>41</v>
      </c>
      <c r="N65" s="101" t="s">
        <v>41</v>
      </c>
    </row>
    <row r="66" spans="1:14" x14ac:dyDescent="0.4">
      <c r="A66" s="2"/>
      <c r="B66" s="17" t="s">
        <v>216</v>
      </c>
      <c r="C66" s="284">
        <v>59411.08</v>
      </c>
      <c r="D66" s="294">
        <v>57960.09</v>
      </c>
      <c r="E66" s="101" t="s">
        <v>1189</v>
      </c>
      <c r="F66" s="101">
        <v>58991.519999999997</v>
      </c>
      <c r="G66" s="101">
        <v>60498.48</v>
      </c>
      <c r="H66" s="101">
        <v>57158.69</v>
      </c>
      <c r="I66" s="101" t="s">
        <v>41</v>
      </c>
      <c r="J66" s="101" t="s">
        <v>41</v>
      </c>
      <c r="K66" s="101" t="s">
        <v>41</v>
      </c>
      <c r="L66" s="101" t="s">
        <v>41</v>
      </c>
      <c r="M66" s="101" t="s">
        <v>41</v>
      </c>
      <c r="N66" s="101" t="s">
        <v>41</v>
      </c>
    </row>
    <row r="67" spans="1:14" x14ac:dyDescent="0.4">
      <c r="A67" s="2"/>
      <c r="B67" s="17" t="s">
        <v>1087</v>
      </c>
      <c r="C67" s="546" t="s">
        <v>83</v>
      </c>
      <c r="D67" s="546"/>
      <c r="E67" s="546"/>
      <c r="F67" s="546"/>
      <c r="G67" s="546"/>
      <c r="H67" s="546"/>
      <c r="I67" s="546"/>
      <c r="J67" s="546"/>
      <c r="K67" s="546"/>
      <c r="L67" s="546"/>
      <c r="M67" s="546"/>
      <c r="N67" s="546"/>
    </row>
    <row r="68" spans="1:14" s="8" customFormat="1" ht="13.25" x14ac:dyDescent="0.4">
      <c r="A68" s="2"/>
      <c r="B68" s="399" t="s">
        <v>1273</v>
      </c>
      <c r="C68" s="399"/>
      <c r="D68" s="399"/>
      <c r="E68" s="399"/>
      <c r="F68" s="399"/>
      <c r="G68" s="399"/>
      <c r="H68" s="399"/>
      <c r="I68" s="399"/>
      <c r="J68" s="399"/>
      <c r="K68" s="399"/>
      <c r="L68" s="399"/>
      <c r="M68" s="399"/>
      <c r="N68" s="399"/>
    </row>
    <row r="69" spans="1:14" x14ac:dyDescent="0.4">
      <c r="A69" s="2"/>
      <c r="B69" s="545" t="s">
        <v>17</v>
      </c>
      <c r="C69" s="545"/>
      <c r="D69" s="545"/>
      <c r="E69" s="545"/>
      <c r="F69" s="545"/>
      <c r="G69" s="545"/>
      <c r="H69" s="545"/>
      <c r="I69" s="545"/>
      <c r="J69" s="545"/>
      <c r="K69" s="545"/>
      <c r="L69" s="545"/>
      <c r="M69" s="545"/>
      <c r="N69" s="545"/>
    </row>
    <row r="70" spans="1:14" x14ac:dyDescent="0.4">
      <c r="A70" s="2"/>
      <c r="B70" s="480" t="s">
        <v>63</v>
      </c>
      <c r="C70" s="480"/>
      <c r="D70" s="480"/>
      <c r="E70" s="480"/>
      <c r="F70" s="480"/>
      <c r="G70" s="480"/>
      <c r="H70" s="480"/>
      <c r="I70" s="480"/>
      <c r="J70" s="480"/>
      <c r="K70" s="480"/>
      <c r="L70" s="480"/>
      <c r="M70" s="480"/>
      <c r="N70" s="480"/>
    </row>
    <row r="71" spans="1:14" x14ac:dyDescent="0.4">
      <c r="A71" s="1"/>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57"/>
      <c r="C74" s="57"/>
      <c r="D74" s="305"/>
      <c r="E74" s="57"/>
      <c r="F74" s="57"/>
      <c r="G74" s="13"/>
      <c r="H74" s="13"/>
      <c r="I74" s="13"/>
      <c r="J74" s="13"/>
      <c r="K74" s="13"/>
      <c r="L74" s="13" t="s">
        <v>693</v>
      </c>
      <c r="M74" s="13"/>
      <c r="N74" s="13"/>
    </row>
    <row r="75" spans="1:14" ht="48.05" customHeight="1" x14ac:dyDescent="0.4">
      <c r="A75" s="9">
        <v>13</v>
      </c>
      <c r="B75" s="398" t="s">
        <v>66</v>
      </c>
      <c r="C75" s="398"/>
      <c r="D75" s="398"/>
      <c r="E75" s="398"/>
      <c r="F75" s="398"/>
      <c r="G75" s="398"/>
      <c r="H75" s="398"/>
      <c r="I75" s="398"/>
      <c r="J75" s="398"/>
      <c r="K75" s="398"/>
      <c r="L75" s="398"/>
      <c r="M75" s="398"/>
      <c r="N75" s="398"/>
    </row>
    <row r="76" spans="1:14" x14ac:dyDescent="0.4">
      <c r="A76" s="9"/>
      <c r="B76" s="8"/>
      <c r="C76" s="15"/>
      <c r="D76" s="170"/>
      <c r="E76" s="15"/>
      <c r="F76" s="15"/>
      <c r="G76" s="15"/>
      <c r="H76" s="15"/>
      <c r="I76" s="15"/>
      <c r="J76" s="15"/>
      <c r="K76" s="15"/>
      <c r="L76" s="15"/>
      <c r="M76" s="15"/>
      <c r="N76" s="15"/>
    </row>
    <row r="77" spans="1:14" ht="25.65" x14ac:dyDescent="0.4">
      <c r="A77" s="2"/>
      <c r="B77" s="50" t="s">
        <v>67</v>
      </c>
      <c r="C77" s="18" t="s">
        <v>68</v>
      </c>
      <c r="D77" s="171" t="s">
        <v>1127</v>
      </c>
      <c r="E77" s="18" t="s">
        <v>218</v>
      </c>
      <c r="F77" s="18" t="s">
        <v>71</v>
      </c>
      <c r="G77" s="18" t="s">
        <v>107</v>
      </c>
      <c r="H77" s="13"/>
      <c r="I77" s="13"/>
      <c r="J77" s="13"/>
      <c r="K77" s="13"/>
      <c r="L77" s="13"/>
      <c r="M77" s="13"/>
      <c r="N77" s="13"/>
    </row>
    <row r="78" spans="1:14" ht="25.55" customHeight="1" x14ac:dyDescent="0.4">
      <c r="A78" s="2"/>
      <c r="B78" s="411" t="s">
        <v>1271</v>
      </c>
      <c r="C78" s="207" t="s">
        <v>1199</v>
      </c>
      <c r="D78" s="101">
        <v>4.07</v>
      </c>
      <c r="E78" s="52">
        <v>8.39</v>
      </c>
      <c r="F78" s="435" t="s">
        <v>326</v>
      </c>
      <c r="G78" s="435" t="s">
        <v>220</v>
      </c>
      <c r="H78" s="53"/>
      <c r="I78" s="53"/>
      <c r="J78" s="53"/>
      <c r="K78" s="53"/>
      <c r="L78" s="53"/>
      <c r="M78" s="53"/>
      <c r="N78" s="53"/>
    </row>
    <row r="79" spans="1:14" x14ac:dyDescent="0.4">
      <c r="A79" s="2"/>
      <c r="B79" s="533"/>
      <c r="C79" s="207" t="s">
        <v>987</v>
      </c>
      <c r="D79" s="101" t="s">
        <v>1077</v>
      </c>
      <c r="E79" s="101" t="s">
        <v>1077</v>
      </c>
      <c r="F79" s="436"/>
      <c r="G79" s="436"/>
      <c r="H79" s="53"/>
      <c r="I79" s="53"/>
      <c r="J79" s="53"/>
      <c r="K79" s="53"/>
      <c r="L79" s="53"/>
      <c r="M79" s="53"/>
      <c r="N79" s="53"/>
    </row>
    <row r="80" spans="1:14" x14ac:dyDescent="0.4">
      <c r="A80" s="2"/>
      <c r="B80" s="534"/>
      <c r="C80" s="207" t="s">
        <v>74</v>
      </c>
      <c r="D80" s="101">
        <v>0</v>
      </c>
      <c r="E80" s="101">
        <v>0</v>
      </c>
      <c r="F80" s="436"/>
      <c r="G80" s="436"/>
      <c r="H80" s="53"/>
      <c r="I80" s="53"/>
      <c r="J80" s="53"/>
      <c r="K80" s="53"/>
      <c r="L80" s="53"/>
      <c r="M80" s="53"/>
      <c r="N80" s="53"/>
    </row>
    <row r="81" spans="1:14" x14ac:dyDescent="0.4">
      <c r="A81" s="2"/>
      <c r="B81" s="411" t="s">
        <v>75</v>
      </c>
      <c r="C81" s="207" t="s">
        <v>1199</v>
      </c>
      <c r="D81" s="101">
        <v>23.59</v>
      </c>
      <c r="E81" s="55">
        <f>173/8.39</f>
        <v>20.619785458879615</v>
      </c>
      <c r="F81" s="436"/>
      <c r="G81" s="436"/>
      <c r="H81" s="53"/>
      <c r="I81" s="53"/>
      <c r="J81" s="53"/>
      <c r="K81" s="53"/>
      <c r="L81" s="53"/>
      <c r="M81" s="53"/>
      <c r="N81" s="53"/>
    </row>
    <row r="82" spans="1:14" x14ac:dyDescent="0.4">
      <c r="A82" s="2"/>
      <c r="B82" s="533"/>
      <c r="C82" s="207" t="s">
        <v>987</v>
      </c>
      <c r="D82" s="101" t="s">
        <v>1077</v>
      </c>
      <c r="E82" s="101" t="s">
        <v>1077</v>
      </c>
      <c r="F82" s="436"/>
      <c r="G82" s="436"/>
      <c r="H82" s="53"/>
      <c r="I82" s="53"/>
      <c r="J82" s="53"/>
      <c r="K82" s="53"/>
      <c r="L82" s="53"/>
      <c r="M82" s="53"/>
      <c r="N82" s="53"/>
    </row>
    <row r="83" spans="1:14" x14ac:dyDescent="0.4">
      <c r="A83" s="2"/>
      <c r="B83" s="534"/>
      <c r="C83" s="207" t="s">
        <v>74</v>
      </c>
      <c r="D83" s="101">
        <v>0</v>
      </c>
      <c r="E83" s="101">
        <v>0</v>
      </c>
      <c r="F83" s="436"/>
      <c r="G83" s="436"/>
      <c r="H83" s="53"/>
      <c r="I83" s="53"/>
      <c r="J83" s="53"/>
      <c r="K83" s="53"/>
      <c r="L83" s="53"/>
      <c r="M83" s="53"/>
      <c r="N83" s="53"/>
    </row>
    <row r="84" spans="1:14" x14ac:dyDescent="0.4">
      <c r="A84" s="2"/>
      <c r="B84" s="411" t="s">
        <v>76</v>
      </c>
      <c r="C84" s="207" t="s">
        <v>1199</v>
      </c>
      <c r="D84" s="101">
        <v>60.41</v>
      </c>
      <c r="E84" s="56">
        <f>741.14/1649.56</f>
        <v>0.44929556972768497</v>
      </c>
      <c r="F84" s="436"/>
      <c r="G84" s="436"/>
      <c r="H84" s="53"/>
      <c r="I84" s="53"/>
      <c r="J84" s="53"/>
      <c r="K84" s="53"/>
      <c r="L84" s="53"/>
      <c r="M84" s="53"/>
      <c r="N84" s="53"/>
    </row>
    <row r="85" spans="1:14" x14ac:dyDescent="0.4">
      <c r="A85" s="2"/>
      <c r="B85" s="533"/>
      <c r="C85" s="207" t="s">
        <v>987</v>
      </c>
      <c r="D85" s="101" t="s">
        <v>1077</v>
      </c>
      <c r="E85" s="101" t="s">
        <v>1077</v>
      </c>
      <c r="F85" s="436"/>
      <c r="G85" s="436"/>
      <c r="H85" s="53"/>
      <c r="I85" s="53"/>
      <c r="J85" s="53"/>
      <c r="K85" s="53"/>
      <c r="L85" s="53"/>
      <c r="M85" s="53"/>
      <c r="N85" s="53"/>
    </row>
    <row r="86" spans="1:14" x14ac:dyDescent="0.4">
      <c r="A86" s="2"/>
      <c r="B86" s="534"/>
      <c r="C86" s="207" t="s">
        <v>74</v>
      </c>
      <c r="D86" s="101">
        <v>0</v>
      </c>
      <c r="E86" s="101">
        <v>0</v>
      </c>
      <c r="F86" s="436"/>
      <c r="G86" s="436"/>
      <c r="H86" s="53"/>
      <c r="I86" s="53"/>
      <c r="J86" s="53"/>
      <c r="K86" s="53"/>
      <c r="L86" s="53"/>
      <c r="M86" s="53"/>
      <c r="N86" s="53"/>
    </row>
    <row r="87" spans="1:14" x14ac:dyDescent="0.4">
      <c r="A87" s="2"/>
      <c r="B87" s="603" t="s">
        <v>77</v>
      </c>
      <c r="C87" s="207" t="s">
        <v>1199</v>
      </c>
      <c r="D87" s="101">
        <v>13.67</v>
      </c>
      <c r="E87" s="55">
        <f>1649.56/88.35</f>
        <v>18.670741369552914</v>
      </c>
      <c r="F87" s="436"/>
      <c r="G87" s="436"/>
      <c r="H87" s="53"/>
      <c r="I87" s="53"/>
      <c r="J87" s="53"/>
      <c r="K87" s="53"/>
      <c r="L87" s="53"/>
      <c r="M87" s="53"/>
      <c r="N87" s="53"/>
    </row>
    <row r="88" spans="1:14" x14ac:dyDescent="0.4">
      <c r="A88" s="2"/>
      <c r="B88" s="604"/>
      <c r="C88" s="207" t="s">
        <v>987</v>
      </c>
      <c r="D88" s="101" t="s">
        <v>1077</v>
      </c>
      <c r="E88" s="101" t="s">
        <v>1077</v>
      </c>
      <c r="F88" s="436"/>
      <c r="G88" s="436"/>
      <c r="H88" s="53"/>
      <c r="I88" s="53"/>
      <c r="J88" s="53"/>
      <c r="K88" s="53"/>
      <c r="L88" s="53"/>
      <c r="M88" s="53"/>
      <c r="N88" s="53"/>
    </row>
    <row r="89" spans="1:14" ht="15.05" customHeight="1" x14ac:dyDescent="0.4">
      <c r="A89" s="2"/>
      <c r="B89" s="604"/>
      <c r="C89" s="3" t="s">
        <v>74</v>
      </c>
      <c r="D89" s="101">
        <v>0</v>
      </c>
      <c r="E89" s="101">
        <v>0</v>
      </c>
      <c r="F89" s="547"/>
      <c r="G89" s="547"/>
      <c r="H89" s="53"/>
      <c r="I89" s="53"/>
      <c r="J89" s="53"/>
      <c r="K89" s="53"/>
      <c r="L89" s="53"/>
      <c r="M89" s="53"/>
      <c r="N89" s="53"/>
    </row>
    <row r="90" spans="1:14" ht="15.8" customHeight="1" x14ac:dyDescent="0.4">
      <c r="A90" s="8"/>
      <c r="B90" s="608" t="s">
        <v>1200</v>
      </c>
      <c r="C90" s="609"/>
      <c r="D90" s="609"/>
      <c r="E90" s="609"/>
      <c r="F90" s="609"/>
      <c r="G90" s="610"/>
      <c r="H90" s="53"/>
      <c r="I90" s="53"/>
      <c r="J90" s="8"/>
      <c r="K90" s="8"/>
      <c r="L90" s="8"/>
      <c r="M90" s="8"/>
      <c r="N90" s="8"/>
    </row>
    <row r="91" spans="1:14" ht="26.3" customHeight="1" x14ac:dyDescent="0.4">
      <c r="A91" s="9">
        <v>14</v>
      </c>
      <c r="B91" s="611" t="s">
        <v>989</v>
      </c>
      <c r="C91" s="612"/>
      <c r="D91" s="612"/>
      <c r="E91" s="612"/>
      <c r="F91" s="612"/>
      <c r="G91" s="613"/>
      <c r="H91" s="8"/>
      <c r="I91" s="8"/>
      <c r="J91" s="8"/>
      <c r="K91" s="8"/>
      <c r="L91" s="8"/>
      <c r="M91" s="8"/>
      <c r="N91" s="8"/>
    </row>
    <row r="92" spans="1:14" x14ac:dyDescent="0.4">
      <c r="A92" s="23"/>
      <c r="B92" s="61" t="s">
        <v>78</v>
      </c>
      <c r="C92" s="497" t="s">
        <v>41</v>
      </c>
      <c r="D92" s="497"/>
      <c r="E92" s="497"/>
      <c r="F92" s="497"/>
      <c r="G92" s="497"/>
      <c r="H92" s="8"/>
      <c r="I92" s="8"/>
      <c r="J92" s="8"/>
      <c r="K92" s="8"/>
      <c r="L92" s="8"/>
      <c r="M92" s="8"/>
      <c r="N92" s="8"/>
    </row>
    <row r="93" spans="1:14" x14ac:dyDescent="0.4">
      <c r="A93" s="8"/>
      <c r="B93" s="8"/>
      <c r="C93" s="10"/>
      <c r="D93" s="208"/>
      <c r="E93" s="200"/>
      <c r="F93" s="200"/>
      <c r="G93" s="200"/>
      <c r="H93" s="8"/>
      <c r="I93" s="8"/>
      <c r="J93" s="8"/>
      <c r="K93" s="8"/>
      <c r="L93" s="8"/>
      <c r="M93" s="8"/>
      <c r="N93" s="8"/>
    </row>
    <row r="94" spans="1:14" x14ac:dyDescent="0.4">
      <c r="A94" s="8"/>
      <c r="B94" s="8"/>
      <c r="C94" s="8"/>
      <c r="D94" s="208"/>
      <c r="H94" s="8"/>
      <c r="I94" s="8"/>
      <c r="J94" s="8"/>
      <c r="K94" s="8"/>
      <c r="L94" s="8"/>
      <c r="M94" s="8"/>
      <c r="N94" s="8"/>
    </row>
    <row r="95" spans="1:14" ht="15.05" customHeight="1" x14ac:dyDescent="0.4">
      <c r="A95" s="8"/>
      <c r="B95" s="8"/>
      <c r="C95" s="8"/>
      <c r="D95" s="167"/>
      <c r="H95" s="200"/>
      <c r="I95" s="8"/>
      <c r="J95" s="8"/>
      <c r="K95" s="8"/>
      <c r="L95" s="8"/>
      <c r="M95" s="8"/>
      <c r="N95" s="8"/>
    </row>
    <row r="96" spans="1:14" ht="15.05" customHeight="1" x14ac:dyDescent="0.4">
      <c r="B96" s="538" t="s">
        <v>1201</v>
      </c>
      <c r="C96" s="538"/>
      <c r="D96" s="538"/>
      <c r="E96" s="538"/>
      <c r="F96" s="538"/>
      <c r="G96" s="538"/>
    </row>
    <row r="97" spans="2:7" ht="15.05" customHeight="1" x14ac:dyDescent="0.4">
      <c r="C97" s="200"/>
    </row>
    <row r="98" spans="2:7" ht="25.55" customHeight="1" x14ac:dyDescent="0.4">
      <c r="B98" s="497" t="s">
        <v>1234</v>
      </c>
      <c r="C98" s="497"/>
      <c r="D98" s="497"/>
      <c r="E98" s="497"/>
      <c r="F98" s="497"/>
      <c r="G98" s="497"/>
    </row>
    <row r="99" spans="2:7" x14ac:dyDescent="0.4">
      <c r="C99" s="238"/>
    </row>
    <row r="100" spans="2:7" x14ac:dyDescent="0.4">
      <c r="C100" s="228"/>
      <c r="D100" s="228"/>
    </row>
    <row r="101" spans="2:7" x14ac:dyDescent="0.4">
      <c r="C101" s="228"/>
    </row>
  </sheetData>
  <sheetProtection algorithmName="SHA-512" hashValue="jjFgwkhPl/w/mBlQumXnFq8to0aWoGIcc3qkJfGDWV3y0+V1qamMnoltZ/zqyyUKRNcsPyAK+zWfC8ddPE+kZg==" saltValue="GBvcYzWP/7mqcIaqbEw43Q==" spinCount="100000" sheet="1" objects="1" scenarios="1"/>
  <mergeCells count="65">
    <mergeCell ref="C20:E20"/>
    <mergeCell ref="A1:B1"/>
    <mergeCell ref="C5:E5"/>
    <mergeCell ref="C11:E11"/>
    <mergeCell ref="B17:E17"/>
    <mergeCell ref="C18:E18"/>
    <mergeCell ref="C19:E19"/>
    <mergeCell ref="C3:E3"/>
    <mergeCell ref="B6:E6"/>
    <mergeCell ref="C8:E8"/>
    <mergeCell ref="B9:E9"/>
    <mergeCell ref="B32:E32"/>
    <mergeCell ref="B34:E34"/>
    <mergeCell ref="C35:E35"/>
    <mergeCell ref="C36:E36"/>
    <mergeCell ref="C37:E37"/>
    <mergeCell ref="C21:E21"/>
    <mergeCell ref="C22:E22"/>
    <mergeCell ref="B25:E25"/>
    <mergeCell ref="B26:E26"/>
    <mergeCell ref="D28:D31"/>
    <mergeCell ref="E28:E31"/>
    <mergeCell ref="C54:E54"/>
    <mergeCell ref="B40:E40"/>
    <mergeCell ref="C41:E41"/>
    <mergeCell ref="C42:E42"/>
    <mergeCell ref="C43:E43"/>
    <mergeCell ref="B44:E44"/>
    <mergeCell ref="B46:E46"/>
    <mergeCell ref="B50:E50"/>
    <mergeCell ref="B51:B52"/>
    <mergeCell ref="C51:E52"/>
    <mergeCell ref="C53:E53"/>
    <mergeCell ref="F63:H63"/>
    <mergeCell ref="I63:K63"/>
    <mergeCell ref="L63:N63"/>
    <mergeCell ref="C67:N67"/>
    <mergeCell ref="B68:N68"/>
    <mergeCell ref="B55:E55"/>
    <mergeCell ref="C57:E57"/>
    <mergeCell ref="B63:B64"/>
    <mergeCell ref="C63:C64"/>
    <mergeCell ref="D63:D64"/>
    <mergeCell ref="E63:E64"/>
    <mergeCell ref="G78:G89"/>
    <mergeCell ref="B81:B83"/>
    <mergeCell ref="B84:B86"/>
    <mergeCell ref="B87:B89"/>
    <mergeCell ref="B69:N69"/>
    <mergeCell ref="B98:G98"/>
    <mergeCell ref="C92:G92"/>
    <mergeCell ref="B12:E12"/>
    <mergeCell ref="C14:E14"/>
    <mergeCell ref="B15:E15"/>
    <mergeCell ref="C61:E61"/>
    <mergeCell ref="B75:N75"/>
    <mergeCell ref="B90:G90"/>
    <mergeCell ref="B91:G91"/>
    <mergeCell ref="B96:G96"/>
    <mergeCell ref="B70:N70"/>
    <mergeCell ref="B71:N71"/>
    <mergeCell ref="B72:N72"/>
    <mergeCell ref="B73:N73"/>
    <mergeCell ref="B78:B80"/>
    <mergeCell ref="F78:F89"/>
  </mergeCells>
  <pageMargins left="0" right="0" top="0.42499999999999999" bottom="0.75" header="0.10625" footer="0.3"/>
  <pageSetup paperSize="5" scale="82" orientation="landscape" verticalDpi="300" r:id="rId1"/>
  <rowBreaks count="2" manualBreakCount="2">
    <brk id="37" max="16383" man="1"/>
    <brk id="7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N108"/>
  <sheetViews>
    <sheetView view="pageBreakPreview" topLeftCell="A18" zoomScale="90" zoomScaleNormal="55" zoomScaleSheetLayoutView="90" zoomScalePageLayoutView="50" workbookViewId="0">
      <selection activeCell="E78" sqref="E78:E90"/>
    </sheetView>
  </sheetViews>
  <sheetFormatPr defaultColWidth="8.84375" defaultRowHeight="13.25" x14ac:dyDescent="0.4"/>
  <cols>
    <col min="1" max="1" width="8.84375" style="8"/>
    <col min="2" max="2" width="35" style="8" customWidth="1"/>
    <col min="3" max="3" width="47.07421875" style="8" customWidth="1"/>
    <col min="4" max="5" width="15" style="8" customWidth="1"/>
    <col min="6" max="6" width="11.3046875" style="8" customWidth="1"/>
    <col min="7" max="7" width="12.69140625" style="8" customWidth="1"/>
    <col min="8" max="8" width="9.4609375" style="8" bestFit="1" customWidth="1"/>
    <col min="9" max="16384" width="8.84375" style="8"/>
  </cols>
  <sheetData>
    <row r="1" spans="1:5" x14ac:dyDescent="0.4">
      <c r="A1" s="355" t="s">
        <v>0</v>
      </c>
      <c r="B1" s="355"/>
      <c r="D1" s="1"/>
    </row>
    <row r="3" spans="1:5" x14ac:dyDescent="0.4">
      <c r="A3" s="2" t="s">
        <v>1</v>
      </c>
      <c r="B3" s="3" t="s">
        <v>2</v>
      </c>
      <c r="C3" s="497" t="s">
        <v>1202</v>
      </c>
      <c r="D3" s="497"/>
      <c r="E3" s="497"/>
    </row>
    <row r="4" spans="1:5" x14ac:dyDescent="0.4">
      <c r="D4" s="5"/>
    </row>
    <row r="5" spans="1:5" ht="12.7" customHeight="1" x14ac:dyDescent="0.4">
      <c r="A5" s="36">
        <v>1</v>
      </c>
      <c r="B5" s="3" t="s">
        <v>3</v>
      </c>
      <c r="C5" s="497" t="s">
        <v>1019</v>
      </c>
      <c r="D5" s="497"/>
      <c r="E5" s="497"/>
    </row>
    <row r="6" spans="1:5" x14ac:dyDescent="0.4">
      <c r="A6" s="9"/>
      <c r="B6" s="480" t="s">
        <v>5</v>
      </c>
      <c r="C6" s="480"/>
      <c r="D6" s="480"/>
      <c r="E6" s="480"/>
    </row>
    <row r="7" spans="1:5" x14ac:dyDescent="0.4">
      <c r="A7" s="9"/>
      <c r="B7" s="11"/>
      <c r="D7" s="5"/>
    </row>
    <row r="8" spans="1:5" x14ac:dyDescent="0.4">
      <c r="A8" s="9">
        <v>2</v>
      </c>
      <c r="B8" s="7" t="s">
        <v>6</v>
      </c>
      <c r="C8" s="632" t="s">
        <v>1203</v>
      </c>
      <c r="D8" s="632"/>
      <c r="E8" s="632"/>
    </row>
    <row r="9" spans="1:5" x14ac:dyDescent="0.4">
      <c r="A9" s="9"/>
      <c r="B9" s="480" t="s">
        <v>5</v>
      </c>
      <c r="C9" s="480"/>
      <c r="D9" s="480"/>
      <c r="E9" s="480"/>
    </row>
    <row r="10" spans="1:5" x14ac:dyDescent="0.4">
      <c r="A10" s="9"/>
      <c r="B10" s="11"/>
      <c r="D10" s="5"/>
    </row>
    <row r="11" spans="1:5" ht="25.65" x14ac:dyDescent="0.4">
      <c r="A11" s="9">
        <v>3</v>
      </c>
      <c r="B11" s="7" t="s">
        <v>7</v>
      </c>
      <c r="C11" s="356" t="s">
        <v>1109</v>
      </c>
      <c r="D11" s="357"/>
      <c r="E11" s="408"/>
    </row>
    <row r="12" spans="1:5" x14ac:dyDescent="0.4">
      <c r="A12" s="9"/>
      <c r="B12" s="480" t="s">
        <v>5</v>
      </c>
      <c r="C12" s="480"/>
      <c r="D12" s="480"/>
      <c r="E12" s="480"/>
    </row>
    <row r="13" spans="1:5" x14ac:dyDescent="0.4">
      <c r="A13" s="9"/>
      <c r="B13" s="11"/>
      <c r="D13" s="5"/>
    </row>
    <row r="14" spans="1:5" x14ac:dyDescent="0.4">
      <c r="A14" s="9">
        <v>4</v>
      </c>
      <c r="B14" s="3" t="s">
        <v>9</v>
      </c>
      <c r="C14" s="446" t="s">
        <v>1204</v>
      </c>
      <c r="D14" s="446"/>
      <c r="E14" s="446"/>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38.450000000000003" x14ac:dyDescent="0.4">
      <c r="A19" s="9"/>
      <c r="B19" s="14" t="s">
        <v>1078</v>
      </c>
      <c r="C19" s="625">
        <v>5.9799999999999999E-2</v>
      </c>
      <c r="D19" s="606"/>
      <c r="E19" s="607"/>
      <c r="F19" s="15"/>
      <c r="G19" s="13"/>
      <c r="I19" s="13"/>
      <c r="J19" s="13"/>
      <c r="K19" s="13"/>
      <c r="L19" s="13"/>
      <c r="M19" s="13"/>
      <c r="N19" s="13"/>
    </row>
    <row r="20" spans="1:14" x14ac:dyDescent="0.4">
      <c r="A20" s="9"/>
      <c r="B20" s="14" t="s">
        <v>605</v>
      </c>
      <c r="C20" s="367">
        <v>5.9799999999999999E-2</v>
      </c>
      <c r="D20" s="367"/>
      <c r="E20" s="367"/>
      <c r="F20" s="15"/>
      <c r="G20" s="13"/>
      <c r="H20" s="13"/>
      <c r="I20" s="13"/>
      <c r="J20" s="13"/>
      <c r="K20" s="13"/>
      <c r="L20" s="13"/>
      <c r="M20" s="13"/>
      <c r="N20" s="13"/>
    </row>
    <row r="21" spans="1:14" x14ac:dyDescent="0.4">
      <c r="A21" s="9"/>
      <c r="B21" s="16" t="s">
        <v>15</v>
      </c>
      <c r="C21" s="447" t="s">
        <v>1071</v>
      </c>
      <c r="D21" s="447"/>
      <c r="E21" s="447"/>
      <c r="F21" s="15"/>
      <c r="G21" s="13"/>
      <c r="H21" s="13"/>
      <c r="I21" s="13"/>
      <c r="J21" s="13"/>
      <c r="K21" s="13"/>
      <c r="L21" s="13"/>
      <c r="M21" s="13"/>
      <c r="N21" s="13"/>
    </row>
    <row r="22" spans="1:14" x14ac:dyDescent="0.4">
      <c r="A22" s="9"/>
      <c r="B22" s="17" t="s">
        <v>16</v>
      </c>
      <c r="C22" s="446" t="s">
        <v>1072</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202</v>
      </c>
      <c r="D27" s="18" t="s">
        <v>263</v>
      </c>
      <c r="E27" s="18" t="s">
        <v>23</v>
      </c>
      <c r="F27" s="15"/>
    </row>
    <row r="28" spans="1:14" x14ac:dyDescent="0.4">
      <c r="A28" s="9"/>
      <c r="B28" s="19" t="s">
        <v>1272</v>
      </c>
      <c r="C28" s="20">
        <v>5234.01</v>
      </c>
      <c r="D28" s="540" t="s">
        <v>1071</v>
      </c>
      <c r="E28" s="540" t="s">
        <v>1072</v>
      </c>
      <c r="F28" s="15"/>
    </row>
    <row r="29" spans="1:14" x14ac:dyDescent="0.4">
      <c r="A29" s="9"/>
      <c r="B29" s="19" t="s">
        <v>25</v>
      </c>
      <c r="C29" s="101">
        <v>1399.19</v>
      </c>
      <c r="D29" s="541"/>
      <c r="E29" s="541"/>
      <c r="F29" s="15"/>
    </row>
    <row r="30" spans="1:14" x14ac:dyDescent="0.4">
      <c r="A30" s="9"/>
      <c r="B30" s="19" t="s">
        <v>26</v>
      </c>
      <c r="C30" s="20">
        <v>1466.88</v>
      </c>
      <c r="D30" s="541"/>
      <c r="E30" s="541"/>
      <c r="F30" s="15"/>
    </row>
    <row r="31" spans="1:14" x14ac:dyDescent="0.4">
      <c r="A31" s="9"/>
      <c r="B31" s="19" t="s">
        <v>27</v>
      </c>
      <c r="C31" s="101">
        <v>4697.6000000000004</v>
      </c>
      <c r="D31" s="542"/>
      <c r="E31" s="542"/>
      <c r="F31" s="15"/>
    </row>
    <row r="32" spans="1:14" x14ac:dyDescent="0.4">
      <c r="A32" s="9"/>
      <c r="B32" s="13"/>
      <c r="C32" s="15"/>
      <c r="D32" s="15"/>
      <c r="E32" s="15"/>
      <c r="F32" s="15"/>
    </row>
    <row r="33" spans="1:10" x14ac:dyDescent="0.4">
      <c r="A33" s="9">
        <v>7</v>
      </c>
      <c r="B33" s="365" t="s">
        <v>28</v>
      </c>
      <c r="C33" s="365"/>
      <c r="D33" s="365"/>
      <c r="E33" s="365"/>
      <c r="F33" s="11"/>
      <c r="G33" s="11"/>
      <c r="H33" s="11"/>
      <c r="I33" s="11"/>
      <c r="J33" s="11"/>
    </row>
    <row r="34" spans="1:10" ht="15.05" customHeight="1" x14ac:dyDescent="0.4">
      <c r="A34" s="9"/>
      <c r="B34" s="17" t="s">
        <v>29</v>
      </c>
      <c r="C34" s="446" t="s">
        <v>881</v>
      </c>
      <c r="D34" s="446"/>
      <c r="E34" s="446"/>
      <c r="F34" s="13"/>
    </row>
    <row r="35" spans="1:10" ht="15.05" customHeight="1" x14ac:dyDescent="0.4">
      <c r="A35" s="9"/>
      <c r="B35" s="17" t="s">
        <v>31</v>
      </c>
      <c r="C35" s="446" t="s">
        <v>1071</v>
      </c>
      <c r="D35" s="446"/>
      <c r="E35" s="446"/>
      <c r="F35" s="13"/>
    </row>
    <row r="36" spans="1:10" ht="15.05" customHeight="1" x14ac:dyDescent="0.4">
      <c r="A36" s="9"/>
      <c r="B36" s="17" t="s">
        <v>32</v>
      </c>
      <c r="C36" s="446" t="s">
        <v>1072</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373" t="s">
        <v>937</v>
      </c>
      <c r="D40" s="374"/>
      <c r="E40" s="375"/>
      <c r="F40" s="13"/>
    </row>
    <row r="41" spans="1:10" ht="15.05" x14ac:dyDescent="0.45">
      <c r="A41" s="9"/>
      <c r="B41" s="17" t="s">
        <v>31</v>
      </c>
      <c r="C41" s="373" t="s">
        <v>1071</v>
      </c>
      <c r="D41" s="374"/>
      <c r="E41" s="375"/>
      <c r="F41" s="182"/>
      <c r="I41" s="182"/>
    </row>
    <row r="42" spans="1:10" x14ac:dyDescent="0.4">
      <c r="A42" s="9"/>
      <c r="B42" s="17" t="s">
        <v>32</v>
      </c>
      <c r="C42" s="373" t="s">
        <v>1072</v>
      </c>
      <c r="D42" s="374"/>
      <c r="E42" s="375"/>
      <c r="F42" s="13"/>
    </row>
    <row r="43" spans="1:10" x14ac:dyDescent="0.4">
      <c r="A43" s="9"/>
      <c r="B43" s="363" t="s">
        <v>1073</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46.5" customHeight="1" x14ac:dyDescent="0.4">
      <c r="A46" s="24"/>
      <c r="B46" s="26" t="s">
        <v>37</v>
      </c>
      <c r="C46" s="27" t="s">
        <v>38</v>
      </c>
      <c r="D46" s="28" t="s">
        <v>39</v>
      </c>
      <c r="E46" s="27" t="s">
        <v>206</v>
      </c>
    </row>
    <row r="47" spans="1:10" ht="64.5" customHeight="1" x14ac:dyDescent="0.4">
      <c r="A47" s="29"/>
      <c r="B47" s="78" t="s">
        <v>1205</v>
      </c>
      <c r="C47" s="78" t="s">
        <v>1206</v>
      </c>
      <c r="D47" s="117" t="s">
        <v>186</v>
      </c>
      <c r="E47" s="117" t="s">
        <v>186</v>
      </c>
    </row>
    <row r="48" spans="1:10" x14ac:dyDescent="0.4">
      <c r="A48" s="31"/>
      <c r="B48" s="380" t="s">
        <v>1207</v>
      </c>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452" t="s">
        <v>43</v>
      </c>
      <c r="C51" s="385" t="s">
        <v>1208</v>
      </c>
      <c r="D51" s="386"/>
      <c r="E51" s="387"/>
      <c r="K51" s="1"/>
    </row>
    <row r="52" spans="1:14" ht="36" customHeight="1" x14ac:dyDescent="0.4">
      <c r="A52" s="29"/>
      <c r="B52" s="552"/>
      <c r="C52" s="388"/>
      <c r="D52" s="389"/>
      <c r="E52" s="390"/>
      <c r="K52" s="1"/>
    </row>
    <row r="53" spans="1:14" x14ac:dyDescent="0.4">
      <c r="A53" s="24"/>
      <c r="B53" s="33" t="s">
        <v>44</v>
      </c>
      <c r="C53" s="391" t="s">
        <v>186</v>
      </c>
      <c r="D53" s="391"/>
      <c r="E53" s="391"/>
    </row>
    <row r="54" spans="1:14" x14ac:dyDescent="0.4">
      <c r="A54" s="29"/>
      <c r="B54" s="33" t="s">
        <v>45</v>
      </c>
      <c r="C54" s="471" t="s">
        <v>46</v>
      </c>
      <c r="D54" s="472"/>
      <c r="E54" s="473"/>
      <c r="K54" s="34"/>
    </row>
    <row r="55" spans="1:14" x14ac:dyDescent="0.4">
      <c r="A55" s="29"/>
      <c r="B55" s="380" t="s">
        <v>1207</v>
      </c>
      <c r="C55" s="381"/>
      <c r="D55" s="381"/>
      <c r="E55" s="382"/>
      <c r="K55" s="34"/>
    </row>
    <row r="56" spans="1:14" s="63" customFormat="1" x14ac:dyDescent="0.35">
      <c r="A56" s="35" t="s">
        <v>47</v>
      </c>
      <c r="B56" s="392" t="s">
        <v>48</v>
      </c>
      <c r="C56" s="392"/>
      <c r="D56" s="392"/>
      <c r="E56" s="392"/>
    </row>
    <row r="57" spans="1:14" x14ac:dyDescent="0.4">
      <c r="A57" s="40"/>
      <c r="B57" s="41"/>
      <c r="C57" s="42"/>
      <c r="D57" s="42"/>
      <c r="E57" s="42"/>
      <c r="F57" s="42"/>
    </row>
    <row r="58" spans="1:14" x14ac:dyDescent="0.4">
      <c r="A58" s="9">
        <v>11</v>
      </c>
      <c r="B58" s="3" t="s">
        <v>49</v>
      </c>
      <c r="C58" s="393" t="s">
        <v>1053</v>
      </c>
      <c r="D58" s="393"/>
      <c r="E58" s="393"/>
      <c r="F58" s="11"/>
      <c r="G58" s="11"/>
      <c r="H58" s="43"/>
      <c r="I58" s="11"/>
      <c r="J58" s="11"/>
    </row>
    <row r="59" spans="1:14" x14ac:dyDescent="0.4">
      <c r="A59" s="9"/>
      <c r="B59" s="15"/>
      <c r="C59" s="15"/>
      <c r="D59" s="15"/>
      <c r="E59" s="15"/>
      <c r="F59" s="15"/>
      <c r="G59" s="15"/>
      <c r="H59" s="44"/>
      <c r="I59" s="44"/>
      <c r="J59" s="15"/>
    </row>
    <row r="60" spans="1:14" x14ac:dyDescent="0.4">
      <c r="A60" s="9">
        <v>12</v>
      </c>
      <c r="B60" s="11" t="s">
        <v>51</v>
      </c>
      <c r="C60" s="11"/>
      <c r="D60" s="11"/>
      <c r="E60" s="43"/>
      <c r="F60" s="43"/>
      <c r="G60" s="11"/>
      <c r="H60" s="43"/>
      <c r="I60" s="11"/>
      <c r="J60" s="11"/>
      <c r="K60" s="11"/>
      <c r="L60" s="11"/>
      <c r="M60" s="11"/>
      <c r="N60" s="11"/>
    </row>
    <row r="61" spans="1:14" x14ac:dyDescent="0.4">
      <c r="A61" s="9"/>
      <c r="B61" s="11"/>
      <c r="C61" s="11"/>
      <c r="D61" s="11"/>
      <c r="E61" s="43"/>
      <c r="F61" s="43"/>
      <c r="G61" s="43"/>
      <c r="H61" s="11"/>
      <c r="I61" s="11"/>
      <c r="J61" s="11"/>
      <c r="K61" s="11"/>
      <c r="L61" s="11"/>
      <c r="M61" s="11"/>
      <c r="N61" s="11"/>
    </row>
    <row r="62" spans="1:14" x14ac:dyDescent="0.4">
      <c r="A62" s="9"/>
      <c r="B62" s="17" t="s">
        <v>52</v>
      </c>
      <c r="C62" s="635" t="s">
        <v>1209</v>
      </c>
      <c r="D62" s="636"/>
      <c r="E62" s="636"/>
      <c r="F62" s="44"/>
      <c r="G62" s="44"/>
      <c r="H62" s="15"/>
      <c r="I62" s="15"/>
      <c r="J62" s="15"/>
      <c r="K62" s="15"/>
      <c r="L62" s="15"/>
      <c r="M62" s="15"/>
      <c r="N62" s="15"/>
    </row>
    <row r="63" spans="1:14" x14ac:dyDescent="0.4">
      <c r="A63" s="9"/>
      <c r="B63" s="15"/>
      <c r="C63" s="15"/>
      <c r="D63" s="118"/>
      <c r="E63" s="118"/>
      <c r="F63" s="15"/>
      <c r="G63" s="15"/>
      <c r="H63" s="15"/>
      <c r="I63" s="15"/>
      <c r="J63" s="15"/>
      <c r="K63" s="15"/>
      <c r="L63" s="15"/>
      <c r="M63" s="15"/>
      <c r="N63" s="15"/>
    </row>
    <row r="64" spans="1:14" x14ac:dyDescent="0.4">
      <c r="A64" s="9"/>
      <c r="B64" s="365" t="s">
        <v>53</v>
      </c>
      <c r="C64" s="366" t="s">
        <v>1210</v>
      </c>
      <c r="D64" s="366" t="s">
        <v>271</v>
      </c>
      <c r="E64" s="403" t="s">
        <v>232</v>
      </c>
      <c r="F64" s="395" t="s">
        <v>626</v>
      </c>
      <c r="G64" s="396"/>
      <c r="H64" s="397"/>
      <c r="I64" s="398" t="s">
        <v>55</v>
      </c>
      <c r="J64" s="398"/>
      <c r="K64" s="398"/>
      <c r="L64" s="398" t="s">
        <v>56</v>
      </c>
      <c r="M64" s="398"/>
      <c r="N64" s="398"/>
    </row>
    <row r="65" spans="1:14" ht="38.450000000000003" x14ac:dyDescent="0.4">
      <c r="A65" s="2"/>
      <c r="B65" s="365"/>
      <c r="C65" s="402"/>
      <c r="D65" s="402"/>
      <c r="E65" s="404"/>
      <c r="F65" s="17" t="s">
        <v>57</v>
      </c>
      <c r="G65" s="17" t="s">
        <v>58</v>
      </c>
      <c r="H65" s="17" t="s">
        <v>59</v>
      </c>
      <c r="I65" s="17" t="s">
        <v>60</v>
      </c>
      <c r="J65" s="17" t="s">
        <v>58</v>
      </c>
      <c r="K65" s="17" t="s">
        <v>59</v>
      </c>
      <c r="L65" s="17" t="s">
        <v>60</v>
      </c>
      <c r="M65" s="17" t="s">
        <v>58</v>
      </c>
      <c r="N65" s="17" t="s">
        <v>59</v>
      </c>
    </row>
    <row r="66" spans="1:14" x14ac:dyDescent="0.4">
      <c r="A66" s="2"/>
      <c r="B66" s="17" t="s">
        <v>103</v>
      </c>
      <c r="C66" s="111">
        <v>102.9</v>
      </c>
      <c r="D66" s="45">
        <v>189.5</v>
      </c>
      <c r="E66" s="45" t="s">
        <v>41</v>
      </c>
      <c r="F66" s="45">
        <v>132.80000000000001</v>
      </c>
      <c r="G66" s="120">
        <v>140</v>
      </c>
      <c r="H66" s="120">
        <v>95</v>
      </c>
      <c r="I66" s="45" t="s">
        <v>41</v>
      </c>
      <c r="J66" s="45" t="s">
        <v>41</v>
      </c>
      <c r="K66" s="45" t="s">
        <v>41</v>
      </c>
      <c r="L66" s="45" t="s">
        <v>41</v>
      </c>
      <c r="M66" s="45" t="s">
        <v>41</v>
      </c>
      <c r="N66" s="45" t="s">
        <v>41</v>
      </c>
    </row>
    <row r="67" spans="1:14" ht="25.65" x14ac:dyDescent="0.4">
      <c r="A67" s="2"/>
      <c r="B67" s="17" t="s">
        <v>1152</v>
      </c>
      <c r="C67" s="111">
        <v>16972.150000000001</v>
      </c>
      <c r="D67" s="45">
        <v>17706.849999999999</v>
      </c>
      <c r="E67" s="45" t="s">
        <v>41</v>
      </c>
      <c r="F67" s="111">
        <v>17359.75</v>
      </c>
      <c r="G67" s="45">
        <v>17381.599999999999</v>
      </c>
      <c r="H67" s="45">
        <v>16828.349999999999</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x14ac:dyDescent="0.4">
      <c r="A69" s="2"/>
      <c r="B69" s="399" t="s">
        <v>1211</v>
      </c>
      <c r="C69" s="399"/>
      <c r="D69" s="399"/>
      <c r="E69" s="399"/>
      <c r="F69" s="399"/>
      <c r="G69" s="399"/>
      <c r="H69" s="399"/>
      <c r="I69" s="399"/>
      <c r="J69" s="399"/>
      <c r="K69" s="399"/>
      <c r="L69" s="399"/>
      <c r="M69" s="399"/>
      <c r="N69" s="399"/>
    </row>
    <row r="70" spans="1:14" x14ac:dyDescent="0.4">
      <c r="A70" s="2"/>
      <c r="B70" s="545" t="s">
        <v>94</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s="1" customFormat="1" x14ac:dyDescent="0.4">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49"/>
      <c r="E75" s="49"/>
      <c r="F75" s="49"/>
      <c r="G75" s="13"/>
      <c r="H75" s="13"/>
      <c r="I75" s="13"/>
      <c r="J75" s="13"/>
      <c r="K75" s="13"/>
      <c r="L75" s="13"/>
      <c r="M75" s="13"/>
      <c r="N75" s="13"/>
    </row>
    <row r="76" spans="1:14" ht="32.25" customHeight="1" x14ac:dyDescent="0.4">
      <c r="A76" s="9">
        <v>13</v>
      </c>
      <c r="B76" s="405" t="s">
        <v>66</v>
      </c>
      <c r="C76" s="406"/>
      <c r="D76" s="406"/>
      <c r="E76" s="406"/>
      <c r="F76" s="406"/>
      <c r="G76" s="376"/>
      <c r="H76" s="11"/>
      <c r="I76" s="11"/>
      <c r="J76" s="11"/>
      <c r="K76" s="11"/>
      <c r="L76" s="11"/>
      <c r="M76" s="11"/>
      <c r="N76" s="11"/>
    </row>
    <row r="77" spans="1:14" x14ac:dyDescent="0.4">
      <c r="A77" s="9"/>
      <c r="C77" s="15"/>
      <c r="D77" s="15"/>
      <c r="E77" s="15"/>
      <c r="F77" s="15"/>
      <c r="G77" s="15"/>
      <c r="H77" s="15"/>
      <c r="I77" s="15"/>
      <c r="J77" s="15"/>
      <c r="K77" s="15"/>
      <c r="L77" s="15"/>
      <c r="M77" s="15"/>
      <c r="N77" s="15"/>
    </row>
    <row r="78" spans="1:14" ht="25.65" x14ac:dyDescent="0.4">
      <c r="A78" s="2"/>
      <c r="B78" s="50" t="s">
        <v>67</v>
      </c>
      <c r="C78" s="18" t="s">
        <v>68</v>
      </c>
      <c r="D78" s="18" t="s">
        <v>1127</v>
      </c>
      <c r="E78" s="18" t="s">
        <v>218</v>
      </c>
      <c r="F78" s="18" t="s">
        <v>71</v>
      </c>
      <c r="G78" s="18" t="s">
        <v>107</v>
      </c>
      <c r="H78" s="13"/>
      <c r="I78" s="13"/>
      <c r="J78" s="13"/>
      <c r="K78" s="13"/>
      <c r="L78" s="13"/>
      <c r="M78" s="13"/>
      <c r="N78" s="13"/>
    </row>
    <row r="79" spans="1:14" ht="13.25" customHeight="1" x14ac:dyDescent="0.35">
      <c r="A79" s="2"/>
      <c r="B79" s="394" t="s">
        <v>1271</v>
      </c>
      <c r="C79" s="3" t="s">
        <v>1212</v>
      </c>
      <c r="D79" s="65">
        <v>5.52</v>
      </c>
      <c r="E79" s="66">
        <v>12.76</v>
      </c>
      <c r="F79" s="435" t="s">
        <v>1071</v>
      </c>
      <c r="G79" s="435" t="s">
        <v>1072</v>
      </c>
      <c r="H79" s="53"/>
      <c r="I79" s="53"/>
      <c r="J79" s="53"/>
      <c r="K79" s="53"/>
      <c r="L79" s="53"/>
      <c r="M79" s="53"/>
      <c r="N79" s="53"/>
    </row>
    <row r="80" spans="1:14" x14ac:dyDescent="0.4">
      <c r="A80" s="2"/>
      <c r="B80" s="394"/>
      <c r="C80" s="3" t="s">
        <v>765</v>
      </c>
      <c r="D80" s="54" t="s">
        <v>1077</v>
      </c>
      <c r="E80" s="66"/>
      <c r="F80" s="436"/>
      <c r="G80" s="436"/>
      <c r="H80" s="53"/>
      <c r="I80" s="53"/>
      <c r="J80" s="53"/>
      <c r="K80" s="53"/>
      <c r="L80" s="53"/>
      <c r="M80" s="53"/>
      <c r="N80" s="53"/>
    </row>
    <row r="81" spans="1:14" x14ac:dyDescent="0.4">
      <c r="A81" s="2"/>
      <c r="B81" s="394"/>
      <c r="C81" s="3" t="s">
        <v>74</v>
      </c>
      <c r="D81" s="127">
        <v>0</v>
      </c>
      <c r="E81" s="66">
        <v>0</v>
      </c>
      <c r="F81" s="436"/>
      <c r="G81" s="436"/>
      <c r="H81" s="53"/>
      <c r="I81" s="53"/>
      <c r="J81" s="53"/>
      <c r="K81" s="53"/>
      <c r="L81" s="53"/>
      <c r="M81" s="53"/>
      <c r="N81" s="53"/>
    </row>
    <row r="82" spans="1:14" x14ac:dyDescent="0.35">
      <c r="A82" s="2"/>
      <c r="B82" s="394" t="s">
        <v>75</v>
      </c>
      <c r="C82" s="3" t="s">
        <v>1212</v>
      </c>
      <c r="D82" s="77">
        <v>15.4</v>
      </c>
      <c r="E82" s="70">
        <f>132.8/12.76</f>
        <v>10.407523510971789</v>
      </c>
      <c r="F82" s="436"/>
      <c r="G82" s="436"/>
      <c r="H82" s="53"/>
      <c r="I82" s="53"/>
      <c r="J82" s="53"/>
      <c r="K82" s="53"/>
      <c r="L82" s="53"/>
      <c r="M82" s="53"/>
      <c r="N82" s="53"/>
    </row>
    <row r="83" spans="1:14" x14ac:dyDescent="0.4">
      <c r="A83" s="2"/>
      <c r="B83" s="394"/>
      <c r="C83" s="3" t="s">
        <v>73</v>
      </c>
      <c r="D83" s="54" t="s">
        <v>1077</v>
      </c>
      <c r="E83" s="66"/>
      <c r="F83" s="436"/>
      <c r="G83" s="436"/>
      <c r="H83" s="53"/>
      <c r="I83" s="53"/>
      <c r="J83" s="53"/>
      <c r="K83" s="53"/>
      <c r="L83" s="53"/>
      <c r="M83" s="53"/>
      <c r="N83" s="53"/>
    </row>
    <row r="84" spans="1:14" x14ac:dyDescent="0.4">
      <c r="A84" s="2"/>
      <c r="B84" s="394"/>
      <c r="C84" s="3" t="s">
        <v>74</v>
      </c>
      <c r="D84" s="127">
        <v>0</v>
      </c>
      <c r="E84" s="66">
        <v>0</v>
      </c>
      <c r="F84" s="436"/>
      <c r="G84" s="436"/>
      <c r="H84" s="53"/>
      <c r="I84" s="53"/>
      <c r="J84" s="53"/>
      <c r="K84" s="53"/>
      <c r="L84" s="53"/>
      <c r="M84" s="53"/>
      <c r="N84" s="53"/>
    </row>
    <row r="85" spans="1:14" ht="14.6" x14ac:dyDescent="0.4">
      <c r="A85" s="2"/>
      <c r="B85" s="394" t="s">
        <v>76</v>
      </c>
      <c r="C85" s="3" t="s">
        <v>1212</v>
      </c>
      <c r="D85" s="97">
        <v>0.47260000000000002</v>
      </c>
      <c r="E85" s="71">
        <f>1283.4/6164.48</f>
        <v>0.20819274294019938</v>
      </c>
      <c r="F85" s="436"/>
      <c r="G85" s="436"/>
      <c r="H85" s="53"/>
      <c r="I85"/>
      <c r="J85"/>
      <c r="K85" s="1"/>
      <c r="L85"/>
      <c r="M85"/>
      <c r="N85"/>
    </row>
    <row r="86" spans="1:14" x14ac:dyDescent="0.4">
      <c r="A86" s="2"/>
      <c r="B86" s="394"/>
      <c r="C86" s="3" t="s">
        <v>73</v>
      </c>
      <c r="D86" s="54" t="s">
        <v>1077</v>
      </c>
      <c r="E86" s="66"/>
      <c r="F86" s="436"/>
      <c r="G86" s="436"/>
      <c r="H86" s="53"/>
      <c r="I86" s="53"/>
      <c r="J86" s="53"/>
      <c r="K86" s="53"/>
      <c r="L86" s="53"/>
      <c r="M86" s="53"/>
      <c r="N86" s="53"/>
    </row>
    <row r="87" spans="1:14" x14ac:dyDescent="0.4">
      <c r="A87" s="2"/>
      <c r="B87" s="394"/>
      <c r="C87" s="3" t="s">
        <v>74</v>
      </c>
      <c r="D87" s="196">
        <v>0</v>
      </c>
      <c r="E87" s="66">
        <v>0</v>
      </c>
      <c r="F87" s="436"/>
      <c r="G87" s="436"/>
      <c r="H87" s="53"/>
      <c r="I87" s="53"/>
      <c r="J87" s="53"/>
      <c r="K87" s="53"/>
      <c r="L87" s="53"/>
      <c r="M87" s="53"/>
      <c r="N87" s="53"/>
    </row>
    <row r="88" spans="1:14" x14ac:dyDescent="0.35">
      <c r="A88" s="2"/>
      <c r="B88" s="394" t="s">
        <v>77</v>
      </c>
      <c r="C88" s="3" t="s">
        <v>1213</v>
      </c>
      <c r="D88" s="65">
        <v>33.369999999999997</v>
      </c>
      <c r="E88" s="70">
        <f>6164.48/146.68</f>
        <v>42.026724843196071</v>
      </c>
      <c r="F88" s="436"/>
      <c r="G88" s="436"/>
      <c r="H88" s="53"/>
      <c r="I88" s="53"/>
      <c r="J88" s="53"/>
      <c r="K88" s="53"/>
      <c r="L88" s="53"/>
      <c r="M88" s="53"/>
      <c r="N88" s="53"/>
    </row>
    <row r="89" spans="1:14" x14ac:dyDescent="0.4">
      <c r="A89" s="2"/>
      <c r="B89" s="394"/>
      <c r="C89" s="3" t="s">
        <v>73</v>
      </c>
      <c r="D89" s="54" t="s">
        <v>1077</v>
      </c>
      <c r="E89" s="66"/>
      <c r="F89" s="436"/>
      <c r="G89" s="436"/>
      <c r="H89" s="53"/>
      <c r="I89" s="53"/>
      <c r="J89" s="53"/>
      <c r="L89" s="53"/>
      <c r="M89" s="53"/>
      <c r="N89" s="53"/>
    </row>
    <row r="90" spans="1:14" x14ac:dyDescent="0.4">
      <c r="A90" s="2"/>
      <c r="B90" s="411"/>
      <c r="C90" s="3" t="s">
        <v>74</v>
      </c>
      <c r="D90" s="127">
        <v>0</v>
      </c>
      <c r="E90" s="66">
        <v>0</v>
      </c>
      <c r="F90" s="436"/>
      <c r="G90" s="436"/>
      <c r="H90" s="53"/>
      <c r="I90" s="53"/>
      <c r="J90" s="53"/>
      <c r="L90" s="53"/>
      <c r="M90" s="53"/>
      <c r="N90" s="53"/>
    </row>
    <row r="91" spans="1:14" s="1" customFormat="1" x14ac:dyDescent="0.4">
      <c r="B91" s="412"/>
      <c r="C91" s="413"/>
      <c r="D91" s="413"/>
      <c r="E91" s="413"/>
      <c r="F91" s="413"/>
      <c r="G91" s="414"/>
      <c r="K91" s="8"/>
    </row>
    <row r="92" spans="1:14" x14ac:dyDescent="0.4">
      <c r="A92" s="2"/>
      <c r="B92" s="415" t="s">
        <v>1214</v>
      </c>
      <c r="C92" s="416"/>
      <c r="D92" s="416"/>
      <c r="E92" s="416"/>
      <c r="F92" s="416"/>
      <c r="G92" s="417"/>
      <c r="H92" s="53"/>
      <c r="I92" s="53"/>
      <c r="J92" s="53"/>
      <c r="L92" s="53"/>
      <c r="M92" s="53"/>
      <c r="N92" s="53"/>
    </row>
    <row r="93" spans="1:14" x14ac:dyDescent="0.4">
      <c r="A93" s="2"/>
      <c r="B93" s="418" t="s">
        <v>989</v>
      </c>
      <c r="C93" s="419"/>
      <c r="D93" s="419"/>
      <c r="E93" s="419"/>
      <c r="F93" s="419"/>
      <c r="G93" s="420"/>
      <c r="H93" s="53"/>
      <c r="I93" s="53"/>
      <c r="J93" s="53"/>
      <c r="L93" s="53"/>
      <c r="M93" s="53"/>
      <c r="N93" s="53"/>
    </row>
    <row r="94" spans="1:14" x14ac:dyDescent="0.4">
      <c r="A94" s="2"/>
      <c r="B94" s="363"/>
      <c r="C94" s="368"/>
      <c r="D94" s="368"/>
      <c r="E94" s="368"/>
      <c r="F94" s="368"/>
      <c r="G94" s="369"/>
      <c r="H94" s="53"/>
      <c r="I94" s="53"/>
      <c r="J94" s="53"/>
      <c r="L94" s="53"/>
      <c r="M94" s="53"/>
      <c r="N94" s="53"/>
    </row>
    <row r="95" spans="1:14" x14ac:dyDescent="0.4">
      <c r="C95" s="407"/>
      <c r="D95" s="407"/>
      <c r="E95" s="407"/>
      <c r="F95" s="407"/>
      <c r="G95" s="407"/>
      <c r="H95" s="53"/>
      <c r="I95" s="53"/>
    </row>
    <row r="96" spans="1:14" x14ac:dyDescent="0.4">
      <c r="A96" s="9">
        <v>14</v>
      </c>
      <c r="B96" s="61" t="s">
        <v>78</v>
      </c>
      <c r="C96" s="356" t="s">
        <v>41</v>
      </c>
      <c r="D96" s="357"/>
      <c r="E96" s="357"/>
      <c r="F96" s="357"/>
      <c r="G96" s="408"/>
    </row>
    <row r="97" spans="2:8" x14ac:dyDescent="0.4">
      <c r="C97" s="69"/>
      <c r="D97" s="69"/>
      <c r="E97" s="69"/>
      <c r="F97" s="69"/>
      <c r="G97" s="69"/>
    </row>
    <row r="99" spans="2:8" ht="12.7" customHeight="1" x14ac:dyDescent="0.4">
      <c r="B99" s="548" t="s">
        <v>1215</v>
      </c>
      <c r="C99" s="549"/>
      <c r="D99" s="549"/>
      <c r="E99" s="549"/>
      <c r="F99" s="549"/>
      <c r="G99" s="549"/>
      <c r="H99" s="295"/>
    </row>
    <row r="101" spans="2:8" ht="25.55" customHeight="1" x14ac:dyDescent="0.4">
      <c r="B101" s="515" t="s">
        <v>1232</v>
      </c>
      <c r="C101" s="515"/>
      <c r="D101" s="515"/>
      <c r="E101" s="515"/>
      <c r="F101" s="515"/>
      <c r="G101" s="515"/>
    </row>
    <row r="104" spans="2:8" x14ac:dyDescent="0.4">
      <c r="D104" s="107"/>
      <c r="E104" s="107"/>
    </row>
    <row r="105" spans="2:8" x14ac:dyDescent="0.4">
      <c r="E105" s="107"/>
    </row>
    <row r="106" spans="2:8" x14ac:dyDescent="0.4">
      <c r="C106" s="230"/>
    </row>
    <row r="108" spans="2:8" x14ac:dyDescent="0.4">
      <c r="C108" s="230"/>
    </row>
  </sheetData>
  <sheetProtection sheet="1" objects="1" scenarios="1"/>
  <mergeCells count="69">
    <mergeCell ref="C20:E20"/>
    <mergeCell ref="A1:B1"/>
    <mergeCell ref="C3:E3"/>
    <mergeCell ref="C5:E5"/>
    <mergeCell ref="C11:E11"/>
    <mergeCell ref="B17:E17"/>
    <mergeCell ref="C18:E18"/>
    <mergeCell ref="C19:E19"/>
    <mergeCell ref="B6:E6"/>
    <mergeCell ref="C8:E8"/>
    <mergeCell ref="B9:E9"/>
    <mergeCell ref="B12:E12"/>
    <mergeCell ref="B39:E39"/>
    <mergeCell ref="C21:E21"/>
    <mergeCell ref="C22:E22"/>
    <mergeCell ref="B25:E25"/>
    <mergeCell ref="B26:E26"/>
    <mergeCell ref="D28:D31"/>
    <mergeCell ref="E28:E31"/>
    <mergeCell ref="B33:E33"/>
    <mergeCell ref="C34:E34"/>
    <mergeCell ref="C35:E35"/>
    <mergeCell ref="C36:E36"/>
    <mergeCell ref="B55:E55"/>
    <mergeCell ref="C40:E40"/>
    <mergeCell ref="C41:E41"/>
    <mergeCell ref="C42:E42"/>
    <mergeCell ref="B43:E43"/>
    <mergeCell ref="B45:E45"/>
    <mergeCell ref="B48:E48"/>
    <mergeCell ref="B50:E50"/>
    <mergeCell ref="B51:B52"/>
    <mergeCell ref="C51:E52"/>
    <mergeCell ref="C53:E53"/>
    <mergeCell ref="C54:E54"/>
    <mergeCell ref="B70:N70"/>
    <mergeCell ref="B56:E56"/>
    <mergeCell ref="C58:E58"/>
    <mergeCell ref="B64:B65"/>
    <mergeCell ref="C64:C65"/>
    <mergeCell ref="D64:D65"/>
    <mergeCell ref="E64:E65"/>
    <mergeCell ref="F64:H64"/>
    <mergeCell ref="I64:K64"/>
    <mergeCell ref="L64:N64"/>
    <mergeCell ref="C68:N68"/>
    <mergeCell ref="B69:N69"/>
    <mergeCell ref="B74:N74"/>
    <mergeCell ref="B76:G76"/>
    <mergeCell ref="B79:B81"/>
    <mergeCell ref="F79:F90"/>
    <mergeCell ref="G79:G90"/>
    <mergeCell ref="B82:B84"/>
    <mergeCell ref="B101:G101"/>
    <mergeCell ref="B99:G99"/>
    <mergeCell ref="C14:E14"/>
    <mergeCell ref="B15:E15"/>
    <mergeCell ref="C62:E62"/>
    <mergeCell ref="C95:G95"/>
    <mergeCell ref="C96:G96"/>
    <mergeCell ref="B85:B87"/>
    <mergeCell ref="B88:B90"/>
    <mergeCell ref="B91:G91"/>
    <mergeCell ref="B92:G92"/>
    <mergeCell ref="B93:G93"/>
    <mergeCell ref="B94:G94"/>
    <mergeCell ref="B71:N71"/>
    <mergeCell ref="B72:N72"/>
    <mergeCell ref="B73:N73"/>
  </mergeCells>
  <pageMargins left="0" right="0" top="0.42499999999999999" bottom="0.75" header="0.10625" footer="0.3"/>
  <pageSetup paperSize="5" scale="63" orientation="landscape" verticalDpi="300" r:id="rId1"/>
  <rowBreaks count="1" manualBreakCount="1">
    <brk id="48"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N110"/>
  <sheetViews>
    <sheetView view="pageBreakPreview" zoomScale="60" zoomScaleNormal="100" workbookViewId="0">
      <selection activeCell="H14" sqref="H14"/>
    </sheetView>
  </sheetViews>
  <sheetFormatPr defaultColWidth="8.84375" defaultRowHeight="13.25" x14ac:dyDescent="0.4"/>
  <cols>
    <col min="1" max="1" width="8.84375" style="8"/>
    <col min="2" max="2" width="35" style="8" customWidth="1"/>
    <col min="3" max="3" width="47.07421875" style="8" customWidth="1"/>
    <col min="4" max="4" width="48.3046875" style="8" customWidth="1"/>
    <col min="5" max="5" width="15" style="8" customWidth="1"/>
    <col min="6" max="6" width="11.3046875" style="8" customWidth="1"/>
    <col min="7" max="7" width="12.69140625" style="8" customWidth="1"/>
    <col min="8" max="8" width="9.4609375" style="8" bestFit="1" customWidth="1"/>
    <col min="9" max="16384" width="8.84375" style="8"/>
  </cols>
  <sheetData>
    <row r="1" spans="1:7" x14ac:dyDescent="0.4">
      <c r="A1" s="355" t="s">
        <v>0</v>
      </c>
      <c r="B1" s="355"/>
      <c r="D1" s="1"/>
    </row>
    <row r="3" spans="1:7" x14ac:dyDescent="0.4">
      <c r="A3" s="2" t="s">
        <v>1</v>
      </c>
      <c r="B3" s="3" t="s">
        <v>2</v>
      </c>
      <c r="C3" s="515" t="s">
        <v>1432</v>
      </c>
      <c r="D3" s="515"/>
      <c r="E3" s="515"/>
    </row>
    <row r="4" spans="1:7" x14ac:dyDescent="0.4">
      <c r="D4" s="5"/>
    </row>
    <row r="5" spans="1:7" x14ac:dyDescent="0.4">
      <c r="A5" s="36">
        <v>1</v>
      </c>
      <c r="B5" s="3" t="s">
        <v>3</v>
      </c>
      <c r="C5" s="497" t="s">
        <v>1019</v>
      </c>
      <c r="D5" s="497"/>
      <c r="E5" s="497"/>
    </row>
    <row r="6" spans="1:7" x14ac:dyDescent="0.4">
      <c r="A6" s="9"/>
      <c r="B6" s="480" t="s">
        <v>5</v>
      </c>
      <c r="C6" s="480"/>
      <c r="D6" s="480"/>
      <c r="E6" s="480"/>
    </row>
    <row r="7" spans="1:7" x14ac:dyDescent="0.4">
      <c r="A7" s="9"/>
      <c r="B7" s="11"/>
      <c r="D7" s="5"/>
    </row>
    <row r="8" spans="1:7" x14ac:dyDescent="0.4">
      <c r="A8" s="9">
        <v>2</v>
      </c>
      <c r="B8" s="7" t="s">
        <v>6</v>
      </c>
      <c r="C8" s="632" t="s">
        <v>1433</v>
      </c>
      <c r="D8" s="632"/>
      <c r="E8" s="632"/>
    </row>
    <row r="9" spans="1:7" x14ac:dyDescent="0.4">
      <c r="A9" s="9"/>
      <c r="B9" s="480" t="s">
        <v>5</v>
      </c>
      <c r="C9" s="480"/>
      <c r="D9" s="480"/>
      <c r="E9" s="480"/>
    </row>
    <row r="10" spans="1:7" x14ac:dyDescent="0.4">
      <c r="A10" s="9"/>
      <c r="B10" s="11"/>
      <c r="D10" s="5"/>
    </row>
    <row r="11" spans="1:7" ht="25.65" x14ac:dyDescent="0.4">
      <c r="A11" s="9">
        <v>3</v>
      </c>
      <c r="B11" s="7" t="s">
        <v>7</v>
      </c>
      <c r="C11" s="356" t="s">
        <v>1109</v>
      </c>
      <c r="D11" s="357"/>
      <c r="E11" s="408"/>
    </row>
    <row r="12" spans="1:7" x14ac:dyDescent="0.4">
      <c r="A12" s="9"/>
      <c r="B12" s="480" t="s">
        <v>5</v>
      </c>
      <c r="C12" s="480"/>
      <c r="D12" s="480"/>
      <c r="E12" s="480"/>
    </row>
    <row r="13" spans="1:7" x14ac:dyDescent="0.4">
      <c r="A13" s="9"/>
      <c r="B13" s="11"/>
      <c r="D13" s="5"/>
    </row>
    <row r="14" spans="1:7" x14ac:dyDescent="0.4">
      <c r="A14" s="9">
        <v>4</v>
      </c>
      <c r="B14" s="3" t="s">
        <v>9</v>
      </c>
      <c r="C14" s="446" t="s">
        <v>1434</v>
      </c>
      <c r="D14" s="446"/>
      <c r="E14" s="446"/>
    </row>
    <row r="15" spans="1:7" x14ac:dyDescent="0.4">
      <c r="A15" s="9"/>
      <c r="B15" s="480" t="s">
        <v>10</v>
      </c>
      <c r="C15" s="480"/>
      <c r="D15" s="480"/>
      <c r="E15" s="480"/>
    </row>
    <row r="16" spans="1:7" x14ac:dyDescent="0.4">
      <c r="A16" s="9"/>
      <c r="D16" s="5"/>
      <c r="G16" s="8" t="s">
        <v>693</v>
      </c>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9.2299999999999993E-2</v>
      </c>
      <c r="D18" s="367"/>
      <c r="E18" s="367"/>
      <c r="F18" s="15"/>
      <c r="G18" s="13"/>
      <c r="H18" s="13"/>
      <c r="I18" s="13"/>
      <c r="J18" s="13"/>
      <c r="K18" s="13"/>
      <c r="L18" s="13"/>
      <c r="M18" s="13"/>
      <c r="N18" s="13"/>
    </row>
    <row r="19" spans="1:14" ht="38.450000000000003" x14ac:dyDescent="0.4">
      <c r="A19" s="9"/>
      <c r="B19" s="14" t="s">
        <v>1415</v>
      </c>
      <c r="C19" s="625">
        <v>1.6899999999999998E-2</v>
      </c>
      <c r="D19" s="606"/>
      <c r="E19" s="607"/>
      <c r="F19" s="15"/>
      <c r="G19" s="13"/>
      <c r="I19" s="13"/>
      <c r="J19" s="13"/>
      <c r="K19" s="13"/>
      <c r="L19" s="13"/>
      <c r="M19" s="13"/>
      <c r="N19" s="13"/>
    </row>
    <row r="20" spans="1:14" x14ac:dyDescent="0.4">
      <c r="A20" s="9"/>
      <c r="B20" s="14" t="s">
        <v>605</v>
      </c>
      <c r="C20" s="367" t="s">
        <v>1416</v>
      </c>
      <c r="D20" s="367"/>
      <c r="E20" s="367"/>
      <c r="F20" s="15"/>
      <c r="G20" s="13"/>
      <c r="H20" s="13"/>
      <c r="I20" s="13"/>
      <c r="J20" s="13"/>
      <c r="K20" s="13"/>
      <c r="L20" s="13"/>
      <c r="M20" s="13"/>
      <c r="N20" s="13"/>
    </row>
    <row r="21" spans="1:14" x14ac:dyDescent="0.4">
      <c r="A21" s="9"/>
      <c r="B21" s="16" t="s">
        <v>15</v>
      </c>
      <c r="C21" s="447" t="s">
        <v>1071</v>
      </c>
      <c r="D21" s="447"/>
      <c r="E21" s="447"/>
      <c r="F21" s="15"/>
      <c r="G21" s="13"/>
      <c r="H21" s="13"/>
      <c r="I21" s="13"/>
      <c r="J21" s="13"/>
      <c r="K21" s="13"/>
      <c r="L21" s="13"/>
      <c r="M21" s="13"/>
      <c r="N21" s="13"/>
    </row>
    <row r="22" spans="1:14" x14ac:dyDescent="0.4">
      <c r="A22" s="9"/>
      <c r="B22" s="17" t="s">
        <v>16</v>
      </c>
      <c r="C22" s="446" t="s">
        <v>1072</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202</v>
      </c>
      <c r="D27" s="18" t="s">
        <v>263</v>
      </c>
      <c r="E27" s="18" t="s">
        <v>23</v>
      </c>
      <c r="F27" s="15"/>
    </row>
    <row r="28" spans="1:14" x14ac:dyDescent="0.4">
      <c r="A28" s="9"/>
      <c r="B28" s="19" t="s">
        <v>1272</v>
      </c>
      <c r="C28" s="540" t="s">
        <v>1416</v>
      </c>
      <c r="D28" s="540" t="s">
        <v>1071</v>
      </c>
      <c r="E28" s="540" t="s">
        <v>1072</v>
      </c>
      <c r="F28" s="15"/>
    </row>
    <row r="29" spans="1:14" x14ac:dyDescent="0.4">
      <c r="A29" s="9"/>
      <c r="B29" s="19" t="s">
        <v>25</v>
      </c>
      <c r="C29" s="541"/>
      <c r="D29" s="541"/>
      <c r="E29" s="541"/>
      <c r="F29" s="15"/>
    </row>
    <row r="30" spans="1:14" x14ac:dyDescent="0.4">
      <c r="A30" s="9"/>
      <c r="B30" s="19" t="s">
        <v>26</v>
      </c>
      <c r="C30" s="541"/>
      <c r="D30" s="541"/>
      <c r="E30" s="541"/>
      <c r="F30" s="15"/>
    </row>
    <row r="31" spans="1:14" x14ac:dyDescent="0.4">
      <c r="A31" s="9"/>
      <c r="B31" s="19" t="s">
        <v>27</v>
      </c>
      <c r="C31" s="542"/>
      <c r="D31" s="542"/>
      <c r="E31" s="542"/>
      <c r="F31" s="15"/>
    </row>
    <row r="32" spans="1:14" x14ac:dyDescent="0.4">
      <c r="A32" s="9"/>
      <c r="B32" s="13"/>
      <c r="C32" s="15"/>
      <c r="D32" s="15"/>
      <c r="E32" s="15"/>
      <c r="F32" s="15"/>
    </row>
    <row r="33" spans="1:10" x14ac:dyDescent="0.4">
      <c r="A33" s="9">
        <v>7</v>
      </c>
      <c r="B33" s="365" t="s">
        <v>28</v>
      </c>
      <c r="C33" s="365"/>
      <c r="D33" s="365"/>
      <c r="E33" s="365"/>
      <c r="F33" s="11"/>
      <c r="G33" s="11"/>
      <c r="H33" s="11"/>
      <c r="I33" s="11"/>
      <c r="J33" s="11"/>
    </row>
    <row r="34" spans="1:10" x14ac:dyDescent="0.4">
      <c r="A34" s="9"/>
      <c r="B34" s="17" t="s">
        <v>29</v>
      </c>
      <c r="C34" s="446" t="s">
        <v>1416</v>
      </c>
      <c r="D34" s="446"/>
      <c r="E34" s="446"/>
      <c r="F34" s="13"/>
    </row>
    <row r="35" spans="1:10" x14ac:dyDescent="0.4">
      <c r="A35" s="9"/>
      <c r="B35" s="17" t="s">
        <v>31</v>
      </c>
      <c r="C35" s="446" t="s">
        <v>1071</v>
      </c>
      <c r="D35" s="446"/>
      <c r="E35" s="446"/>
      <c r="F35" s="13"/>
    </row>
    <row r="36" spans="1:10" x14ac:dyDescent="0.4">
      <c r="A36" s="9"/>
      <c r="B36" s="17" t="s">
        <v>32</v>
      </c>
      <c r="C36" s="446" t="s">
        <v>1072</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373" t="s">
        <v>1416</v>
      </c>
      <c r="D40" s="374"/>
      <c r="E40" s="375"/>
      <c r="F40" s="13"/>
    </row>
    <row r="41" spans="1:10" ht="15.05" x14ac:dyDescent="0.45">
      <c r="A41" s="9"/>
      <c r="B41" s="17" t="s">
        <v>31</v>
      </c>
      <c r="C41" s="373" t="s">
        <v>1071</v>
      </c>
      <c r="D41" s="374"/>
      <c r="E41" s="375"/>
      <c r="F41" s="182"/>
      <c r="I41" s="182"/>
    </row>
    <row r="42" spans="1:10" x14ac:dyDescent="0.4">
      <c r="A42" s="9"/>
      <c r="B42" s="17" t="s">
        <v>32</v>
      </c>
      <c r="C42" s="373" t="s">
        <v>1072</v>
      </c>
      <c r="D42" s="374"/>
      <c r="E42" s="375"/>
      <c r="F42" s="13"/>
    </row>
    <row r="43" spans="1:10" x14ac:dyDescent="0.4">
      <c r="A43" s="9"/>
      <c r="B43" s="363" t="s">
        <v>1073</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51.25" x14ac:dyDescent="0.4">
      <c r="A46" s="24"/>
      <c r="B46" s="26" t="s">
        <v>37</v>
      </c>
      <c r="C46" s="27" t="s">
        <v>38</v>
      </c>
      <c r="D46" s="28" t="s">
        <v>39</v>
      </c>
      <c r="E46" s="27" t="s">
        <v>206</v>
      </c>
    </row>
    <row r="47" spans="1:10" ht="66.3" x14ac:dyDescent="0.4">
      <c r="A47" s="29"/>
      <c r="B47" s="30" t="s">
        <v>1435</v>
      </c>
      <c r="C47" s="30" t="s">
        <v>1436</v>
      </c>
      <c r="D47" s="30" t="s">
        <v>1437</v>
      </c>
      <c r="E47" s="160" t="s">
        <v>1420</v>
      </c>
      <c r="G47" s="8" t="s">
        <v>693</v>
      </c>
    </row>
    <row r="48" spans="1:10" x14ac:dyDescent="0.4">
      <c r="A48" s="31"/>
      <c r="B48" s="380"/>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452" t="s">
        <v>43</v>
      </c>
      <c r="C51" s="637" t="s">
        <v>1436</v>
      </c>
      <c r="D51" s="638"/>
      <c r="E51" s="639"/>
      <c r="K51" s="1"/>
    </row>
    <row r="52" spans="1:14" ht="40.200000000000003" customHeight="1" x14ac:dyDescent="0.4">
      <c r="A52" s="29"/>
      <c r="B52" s="552"/>
      <c r="C52" s="640"/>
      <c r="D52" s="641"/>
      <c r="E52" s="642"/>
      <c r="K52" s="1"/>
    </row>
    <row r="53" spans="1:14" ht="58.2" customHeight="1" x14ac:dyDescent="0.4">
      <c r="A53" s="24"/>
      <c r="B53" s="33" t="s">
        <v>44</v>
      </c>
      <c r="C53" s="460" t="s">
        <v>1438</v>
      </c>
      <c r="D53" s="460"/>
      <c r="E53" s="460"/>
    </row>
    <row r="54" spans="1:14" x14ac:dyDescent="0.4">
      <c r="A54" s="29"/>
      <c r="B54" s="33" t="s">
        <v>45</v>
      </c>
      <c r="C54" s="429" t="s">
        <v>1421</v>
      </c>
      <c r="D54" s="430"/>
      <c r="E54" s="431"/>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1053</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43"/>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635" t="s">
        <v>1439</v>
      </c>
      <c r="D61" s="636"/>
      <c r="E61" s="636"/>
      <c r="F61" s="44"/>
      <c r="G61" s="44"/>
      <c r="H61" s="15"/>
      <c r="I61" s="15"/>
      <c r="J61" s="15"/>
      <c r="K61" s="15"/>
      <c r="L61" s="15"/>
      <c r="M61" s="15"/>
      <c r="N61" s="15"/>
    </row>
    <row r="62" spans="1:14" x14ac:dyDescent="0.4">
      <c r="A62" s="9"/>
      <c r="B62" s="15"/>
      <c r="C62" s="15"/>
      <c r="D62" s="118"/>
      <c r="E62" s="118"/>
      <c r="F62" s="15"/>
      <c r="G62" s="15"/>
      <c r="H62" s="15"/>
      <c r="I62" s="15"/>
      <c r="J62" s="15"/>
      <c r="K62" s="15"/>
      <c r="L62" s="15"/>
      <c r="M62" s="15"/>
      <c r="N62" s="15"/>
    </row>
    <row r="63" spans="1:14" x14ac:dyDescent="0.4">
      <c r="A63" s="9"/>
      <c r="B63" s="365" t="s">
        <v>53</v>
      </c>
      <c r="C63" s="366" t="s">
        <v>1440</v>
      </c>
      <c r="D63" s="366" t="s">
        <v>271</v>
      </c>
      <c r="E63" s="403" t="s">
        <v>232</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111">
        <v>221.55</v>
      </c>
      <c r="D65" s="45">
        <v>392.35</v>
      </c>
      <c r="E65" s="45">
        <v>491.95</v>
      </c>
      <c r="F65" s="45" t="s">
        <v>41</v>
      </c>
      <c r="G65" s="45" t="s">
        <v>41</v>
      </c>
      <c r="H65" s="45" t="s">
        <v>41</v>
      </c>
      <c r="I65" s="45" t="s">
        <v>41</v>
      </c>
      <c r="J65" s="45" t="s">
        <v>41</v>
      </c>
      <c r="K65" s="45" t="s">
        <v>41</v>
      </c>
      <c r="L65" s="45" t="s">
        <v>41</v>
      </c>
      <c r="M65" s="45" t="s">
        <v>41</v>
      </c>
      <c r="N65" s="45" t="s">
        <v>41</v>
      </c>
    </row>
    <row r="66" spans="1:14" ht="25.65" x14ac:dyDescent="0.4">
      <c r="A66" s="2"/>
      <c r="B66" s="17" t="s">
        <v>1152</v>
      </c>
      <c r="C66" s="111">
        <v>18534.099999999999</v>
      </c>
      <c r="D66" s="45">
        <v>19322.55</v>
      </c>
      <c r="E66" s="45">
        <v>19253.8</v>
      </c>
      <c r="F66" s="45" t="s">
        <v>41</v>
      </c>
      <c r="G66" s="45" t="s">
        <v>41</v>
      </c>
      <c r="H66" s="45" t="s">
        <v>41</v>
      </c>
      <c r="I66" s="45" t="s">
        <v>41</v>
      </c>
      <c r="J66" s="45" t="s">
        <v>41</v>
      </c>
      <c r="K66" s="45" t="s">
        <v>41</v>
      </c>
      <c r="L66" s="45" t="s">
        <v>41</v>
      </c>
      <c r="M66" s="45" t="s">
        <v>41</v>
      </c>
      <c r="N66" s="45" t="s">
        <v>41</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399" t="s">
        <v>1441</v>
      </c>
      <c r="C68" s="399"/>
      <c r="D68" s="399"/>
      <c r="E68" s="399"/>
      <c r="F68" s="399"/>
      <c r="G68" s="399"/>
      <c r="H68" s="399"/>
      <c r="I68" s="399"/>
      <c r="J68" s="399"/>
      <c r="K68" s="399"/>
      <c r="L68" s="399"/>
      <c r="M68" s="399"/>
      <c r="N68" s="399"/>
    </row>
    <row r="69" spans="1:14" x14ac:dyDescent="0.4">
      <c r="A69" s="2"/>
      <c r="B69" s="545" t="s">
        <v>94</v>
      </c>
      <c r="C69" s="545"/>
      <c r="D69" s="545"/>
      <c r="E69" s="545"/>
      <c r="F69" s="545"/>
      <c r="G69" s="545"/>
      <c r="H69" s="545"/>
      <c r="I69" s="545"/>
      <c r="J69" s="545"/>
      <c r="K69" s="545"/>
      <c r="L69" s="545"/>
      <c r="M69" s="545"/>
      <c r="N69" s="545"/>
    </row>
    <row r="70" spans="1:14" x14ac:dyDescent="0.4">
      <c r="A70" s="2"/>
      <c r="B70" s="480" t="s">
        <v>693</v>
      </c>
      <c r="C70" s="480"/>
      <c r="D70" s="480"/>
      <c r="E70" s="480"/>
      <c r="F70" s="480"/>
      <c r="G70" s="480"/>
      <c r="H70" s="480"/>
      <c r="I70" s="480"/>
      <c r="J70" s="480"/>
      <c r="K70" s="480"/>
      <c r="L70" s="480"/>
      <c r="M70" s="480"/>
      <c r="N70" s="480"/>
    </row>
    <row r="71" spans="1:14" s="1" customFormat="1" x14ac:dyDescent="0.4">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49"/>
      <c r="E74" s="49"/>
      <c r="F74" s="49"/>
      <c r="G74" s="13"/>
      <c r="H74" s="13"/>
      <c r="I74" s="13"/>
      <c r="J74" s="13"/>
      <c r="K74" s="13"/>
      <c r="L74" s="13"/>
      <c r="M74" s="13"/>
      <c r="N74" s="13"/>
    </row>
    <row r="75" spans="1:14" ht="32.25" customHeight="1" x14ac:dyDescent="0.4">
      <c r="A75" s="9">
        <v>13</v>
      </c>
      <c r="B75" s="405" t="s">
        <v>66</v>
      </c>
      <c r="C75" s="406"/>
      <c r="D75" s="406"/>
      <c r="E75" s="406"/>
      <c r="F75" s="406"/>
      <c r="G75" s="376"/>
      <c r="H75" s="11"/>
      <c r="I75" s="11"/>
      <c r="J75" s="11"/>
      <c r="K75" s="11"/>
      <c r="L75" s="11"/>
      <c r="M75" s="11"/>
      <c r="N75" s="11"/>
    </row>
    <row r="76" spans="1:14" x14ac:dyDescent="0.4">
      <c r="A76" s="9"/>
      <c r="C76" s="15"/>
      <c r="D76" s="15"/>
      <c r="E76" s="15"/>
      <c r="F76" s="15"/>
      <c r="G76" s="15"/>
      <c r="H76" s="15"/>
      <c r="I76" s="15"/>
      <c r="J76" s="15"/>
      <c r="K76" s="15"/>
      <c r="L76" s="15"/>
      <c r="M76" s="15"/>
      <c r="N76" s="15"/>
    </row>
    <row r="77" spans="1:14" ht="25.65" x14ac:dyDescent="0.4">
      <c r="A77" s="2"/>
      <c r="B77" s="50" t="s">
        <v>67</v>
      </c>
      <c r="C77" s="18" t="s">
        <v>68</v>
      </c>
      <c r="D77" s="18" t="s">
        <v>1127</v>
      </c>
      <c r="E77" s="18" t="s">
        <v>218</v>
      </c>
      <c r="F77" s="18" t="s">
        <v>71</v>
      </c>
      <c r="G77" s="18" t="s">
        <v>107</v>
      </c>
      <c r="H77" s="13"/>
      <c r="I77" s="13"/>
      <c r="J77" s="13"/>
      <c r="K77" s="13"/>
      <c r="L77" s="13"/>
      <c r="M77" s="13"/>
      <c r="N77" s="13"/>
    </row>
    <row r="78" spans="1:14" ht="13.25" customHeight="1" x14ac:dyDescent="0.35">
      <c r="A78" s="2"/>
      <c r="B78" s="394" t="s">
        <v>1271</v>
      </c>
      <c r="C78" s="3" t="s">
        <v>1442</v>
      </c>
      <c r="D78" s="65">
        <v>4.43</v>
      </c>
      <c r="E78" s="435" t="s">
        <v>1416</v>
      </c>
      <c r="F78" s="435" t="s">
        <v>1071</v>
      </c>
      <c r="G78" s="435" t="s">
        <v>1072</v>
      </c>
      <c r="H78" s="53"/>
      <c r="I78" s="53"/>
      <c r="J78" s="53"/>
      <c r="K78" s="53"/>
      <c r="L78" s="53"/>
      <c r="M78" s="53"/>
      <c r="N78" s="53"/>
    </row>
    <row r="79" spans="1:14" x14ac:dyDescent="0.4">
      <c r="A79" s="2"/>
      <c r="B79" s="394"/>
      <c r="C79" s="3" t="s">
        <v>765</v>
      </c>
      <c r="D79" s="54"/>
      <c r="E79" s="436"/>
      <c r="F79" s="436"/>
      <c r="G79" s="436"/>
      <c r="H79" s="53"/>
      <c r="I79" s="53"/>
      <c r="J79" s="53"/>
      <c r="K79" s="53"/>
      <c r="L79" s="53"/>
      <c r="M79" s="53"/>
      <c r="N79" s="53"/>
    </row>
    <row r="80" spans="1:14" x14ac:dyDescent="0.4">
      <c r="A80" s="2"/>
      <c r="B80" s="394"/>
      <c r="C80" s="21" t="s">
        <v>1443</v>
      </c>
      <c r="D80" s="54">
        <v>9.64</v>
      </c>
      <c r="E80" s="436"/>
      <c r="F80" s="436"/>
      <c r="G80" s="436"/>
      <c r="H80" s="53"/>
      <c r="I80" s="53"/>
      <c r="J80" s="53"/>
      <c r="K80" s="53"/>
      <c r="L80" s="53"/>
      <c r="M80" s="53"/>
      <c r="N80" s="53"/>
    </row>
    <row r="81" spans="1:14" x14ac:dyDescent="0.4">
      <c r="A81" s="2"/>
      <c r="B81" s="394"/>
      <c r="C81" s="3" t="s">
        <v>74</v>
      </c>
      <c r="D81" s="127">
        <v>9.64</v>
      </c>
      <c r="E81" s="436"/>
      <c r="F81" s="436"/>
      <c r="G81" s="436"/>
      <c r="H81" s="53"/>
      <c r="I81" s="53"/>
      <c r="J81" s="53"/>
      <c r="K81" s="53"/>
      <c r="L81" s="53"/>
      <c r="M81" s="53"/>
      <c r="N81" s="53"/>
    </row>
    <row r="82" spans="1:14" x14ac:dyDescent="0.35">
      <c r="A82" s="2"/>
      <c r="B82" s="394" t="s">
        <v>75</v>
      </c>
      <c r="C82" s="3" t="s">
        <v>1442</v>
      </c>
      <c r="D82" s="77">
        <v>28.89</v>
      </c>
      <c r="E82" s="436"/>
      <c r="F82" s="436"/>
      <c r="G82" s="436"/>
      <c r="H82" s="53"/>
      <c r="I82" s="53"/>
      <c r="J82" s="53"/>
      <c r="K82" s="53"/>
      <c r="L82" s="53"/>
      <c r="M82" s="53"/>
      <c r="N82" s="53"/>
    </row>
    <row r="83" spans="1:14" x14ac:dyDescent="0.4">
      <c r="A83" s="2"/>
      <c r="B83" s="394"/>
      <c r="C83" s="3" t="s">
        <v>73</v>
      </c>
      <c r="D83" s="54"/>
      <c r="E83" s="436"/>
      <c r="F83" s="436"/>
      <c r="G83" s="436"/>
      <c r="H83" s="53"/>
      <c r="I83" s="53"/>
      <c r="J83" s="53"/>
      <c r="K83" s="53"/>
      <c r="L83" s="53"/>
      <c r="M83" s="53"/>
      <c r="N83" s="53"/>
    </row>
    <row r="84" spans="1:14" x14ac:dyDescent="0.4">
      <c r="A84" s="2"/>
      <c r="B84" s="394"/>
      <c r="C84" s="21" t="s">
        <v>1443</v>
      </c>
      <c r="D84" s="54">
        <v>34.020000000000003</v>
      </c>
      <c r="E84" s="436"/>
      <c r="F84" s="436"/>
      <c r="G84" s="436"/>
      <c r="H84" s="53"/>
      <c r="I84" s="53"/>
      <c r="J84" s="53"/>
      <c r="K84" s="53"/>
      <c r="L84" s="53"/>
      <c r="M84" s="53"/>
      <c r="N84" s="53"/>
    </row>
    <row r="85" spans="1:14" x14ac:dyDescent="0.4">
      <c r="A85" s="2"/>
      <c r="B85" s="394"/>
      <c r="C85" s="3" t="s">
        <v>74</v>
      </c>
      <c r="D85" s="127">
        <v>34.020000000000003</v>
      </c>
      <c r="E85" s="436"/>
      <c r="F85" s="436"/>
      <c r="G85" s="436"/>
      <c r="H85" s="53"/>
      <c r="I85" s="53"/>
      <c r="J85" s="53"/>
      <c r="K85" s="53"/>
      <c r="L85" s="53"/>
      <c r="M85" s="53"/>
      <c r="N85" s="53"/>
    </row>
    <row r="86" spans="1:14" ht="14.6" x14ac:dyDescent="0.4">
      <c r="A86" s="2"/>
      <c r="B86" s="394" t="s">
        <v>76</v>
      </c>
      <c r="C86" s="3" t="s">
        <v>1442</v>
      </c>
      <c r="D86" s="97">
        <v>0.90049999999999997</v>
      </c>
      <c r="E86" s="436"/>
      <c r="F86" s="436"/>
      <c r="G86" s="436"/>
      <c r="H86" s="53"/>
      <c r="I86"/>
      <c r="J86"/>
      <c r="K86" s="1"/>
      <c r="L86"/>
      <c r="M86"/>
      <c r="N86"/>
    </row>
    <row r="87" spans="1:14" x14ac:dyDescent="0.4">
      <c r="A87" s="2"/>
      <c r="B87" s="394"/>
      <c r="C87" s="3" t="s">
        <v>73</v>
      </c>
      <c r="D87" s="54"/>
      <c r="E87" s="436"/>
      <c r="F87" s="436"/>
      <c r="G87" s="436"/>
      <c r="H87" s="53"/>
      <c r="I87" s="53"/>
      <c r="J87" s="53"/>
      <c r="K87" s="53"/>
      <c r="L87" s="53"/>
      <c r="M87" s="53"/>
      <c r="N87" s="53"/>
    </row>
    <row r="88" spans="1:14" x14ac:dyDescent="0.35">
      <c r="A88" s="2"/>
      <c r="B88" s="394"/>
      <c r="C88" s="21" t="s">
        <v>1443</v>
      </c>
      <c r="D88" s="97" t="s">
        <v>1444</v>
      </c>
      <c r="E88" s="436"/>
      <c r="F88" s="436"/>
      <c r="G88" s="436"/>
      <c r="H88" s="53"/>
      <c r="I88" s="53"/>
      <c r="J88" s="53"/>
      <c r="K88" s="53"/>
      <c r="L88" s="53"/>
      <c r="M88" s="53"/>
      <c r="N88" s="53"/>
    </row>
    <row r="89" spans="1:14" x14ac:dyDescent="0.4">
      <c r="A89" s="2"/>
      <c r="B89" s="394"/>
      <c r="C89" s="3" t="s">
        <v>74</v>
      </c>
      <c r="D89" s="196">
        <v>0.2026</v>
      </c>
      <c r="E89" s="436"/>
      <c r="F89" s="436"/>
      <c r="G89" s="436"/>
      <c r="H89" s="53"/>
      <c r="I89" s="53"/>
      <c r="J89" s="53"/>
      <c r="K89" s="53"/>
      <c r="L89" s="53"/>
      <c r="M89" s="53"/>
      <c r="N89" s="53"/>
    </row>
    <row r="90" spans="1:14" x14ac:dyDescent="0.35">
      <c r="A90" s="2"/>
      <c r="B90" s="394" t="s">
        <v>77</v>
      </c>
      <c r="C90" s="3" t="s">
        <v>1442</v>
      </c>
      <c r="D90" s="65">
        <v>33.81</v>
      </c>
      <c r="E90" s="436"/>
      <c r="F90" s="436"/>
      <c r="G90" s="436"/>
      <c r="H90" s="53"/>
      <c r="I90" s="53"/>
      <c r="J90" s="53"/>
      <c r="K90" s="53"/>
      <c r="L90" s="53"/>
      <c r="M90" s="53"/>
      <c r="N90" s="53"/>
    </row>
    <row r="91" spans="1:14" x14ac:dyDescent="0.4">
      <c r="A91" s="2"/>
      <c r="B91" s="394"/>
      <c r="C91" s="3" t="s">
        <v>73</v>
      </c>
      <c r="D91" s="54"/>
      <c r="E91" s="436"/>
      <c r="F91" s="436"/>
      <c r="G91" s="436"/>
      <c r="H91" s="53"/>
      <c r="I91" s="53"/>
      <c r="J91" s="53"/>
      <c r="L91" s="53"/>
      <c r="M91" s="53"/>
      <c r="N91" s="53"/>
    </row>
    <row r="92" spans="1:14" x14ac:dyDescent="0.4">
      <c r="A92" s="2"/>
      <c r="B92" s="411"/>
      <c r="C92" s="21" t="s">
        <v>1443</v>
      </c>
      <c r="D92" s="54">
        <v>47.58</v>
      </c>
      <c r="E92" s="436"/>
      <c r="F92" s="436"/>
      <c r="G92" s="436"/>
      <c r="H92" s="53"/>
      <c r="I92" s="53"/>
      <c r="J92" s="53"/>
      <c r="L92" s="53"/>
      <c r="M92" s="53"/>
      <c r="N92" s="53"/>
    </row>
    <row r="93" spans="1:14" x14ac:dyDescent="0.4">
      <c r="A93" s="2"/>
      <c r="B93" s="411"/>
      <c r="C93" s="3" t="s">
        <v>74</v>
      </c>
      <c r="D93" s="127">
        <v>47.58</v>
      </c>
      <c r="E93" s="436"/>
      <c r="F93" s="436"/>
      <c r="G93" s="436"/>
      <c r="H93" s="53"/>
      <c r="I93" s="53"/>
      <c r="J93" s="53"/>
      <c r="L93" s="53"/>
      <c r="M93" s="53"/>
      <c r="N93" s="53"/>
    </row>
    <row r="94" spans="1:14" s="1" customFormat="1" x14ac:dyDescent="0.4">
      <c r="B94" s="412"/>
      <c r="C94" s="413"/>
      <c r="D94" s="413"/>
      <c r="E94" s="413"/>
      <c r="F94" s="413"/>
      <c r="G94" s="414"/>
      <c r="I94" s="1" t="s">
        <v>693</v>
      </c>
      <c r="K94" s="8"/>
    </row>
    <row r="95" spans="1:14" x14ac:dyDescent="0.4">
      <c r="A95" s="2"/>
      <c r="B95" s="415" t="s">
        <v>1445</v>
      </c>
      <c r="C95" s="416"/>
      <c r="D95" s="416"/>
      <c r="E95" s="416"/>
      <c r="F95" s="416"/>
      <c r="G95" s="417"/>
      <c r="H95" s="53"/>
      <c r="I95" s="53"/>
      <c r="J95" s="53"/>
      <c r="L95" s="53"/>
      <c r="M95" s="53"/>
      <c r="N95" s="53"/>
    </row>
    <row r="96" spans="1:14" x14ac:dyDescent="0.4">
      <c r="A96" s="2"/>
      <c r="B96" s="363"/>
      <c r="C96" s="368"/>
      <c r="D96" s="368"/>
      <c r="E96" s="368"/>
      <c r="F96" s="368"/>
      <c r="G96" s="369"/>
      <c r="H96" s="53"/>
      <c r="I96" s="53"/>
      <c r="J96" s="53"/>
      <c r="L96" s="53"/>
      <c r="M96" s="53"/>
      <c r="N96" s="53"/>
    </row>
    <row r="97" spans="1:9" x14ac:dyDescent="0.4">
      <c r="C97" s="407"/>
      <c r="D97" s="407"/>
      <c r="E97" s="407"/>
      <c r="F97" s="407"/>
      <c r="G97" s="407"/>
      <c r="H97" s="53"/>
      <c r="I97" s="53" t="s">
        <v>693</v>
      </c>
    </row>
    <row r="98" spans="1:9" x14ac:dyDescent="0.4">
      <c r="A98" s="9">
        <v>14</v>
      </c>
      <c r="B98" s="61" t="s">
        <v>78</v>
      </c>
      <c r="C98" s="356" t="s">
        <v>41</v>
      </c>
      <c r="D98" s="357"/>
      <c r="E98" s="357"/>
      <c r="F98" s="357"/>
      <c r="G98" s="408"/>
    </row>
    <row r="99" spans="1:9" x14ac:dyDescent="0.4">
      <c r="C99" s="69"/>
      <c r="D99" s="69"/>
      <c r="E99" s="69"/>
      <c r="F99" s="69"/>
      <c r="G99" s="69"/>
    </row>
    <row r="101" spans="1:9" x14ac:dyDescent="0.4">
      <c r="B101" s="548" t="s">
        <v>1446</v>
      </c>
      <c r="C101" s="549"/>
      <c r="D101" s="549"/>
      <c r="E101" s="549"/>
      <c r="F101" s="549"/>
      <c r="G101" s="549"/>
      <c r="H101" s="295"/>
    </row>
    <row r="103" spans="1:9" x14ac:dyDescent="0.4">
      <c r="B103" s="515" t="s">
        <v>1447</v>
      </c>
      <c r="C103" s="515"/>
      <c r="D103" s="515"/>
      <c r="E103" s="515"/>
      <c r="F103" s="515"/>
      <c r="G103" s="515"/>
    </row>
    <row r="106" spans="1:9" x14ac:dyDescent="0.4">
      <c r="D106" s="107"/>
      <c r="E106" s="107"/>
    </row>
    <row r="107" spans="1:9" x14ac:dyDescent="0.4">
      <c r="E107" s="107"/>
    </row>
    <row r="108" spans="1:9" x14ac:dyDescent="0.4">
      <c r="C108" s="230"/>
    </row>
    <row r="110" spans="1:9" x14ac:dyDescent="0.4">
      <c r="C110" s="230"/>
    </row>
  </sheetData>
  <sheetProtection algorithmName="SHA-512" hashValue="LSHPBo0HK7BMPJckdj7MpSUG/WrJtxaqUebeVayTyICO/7xdCcjE1VQIXmth3Gvr3zdSuEXaiVv7gFNwDrwTsQ==" saltValue="CEchrTW/gv+WMT02Ll+dHA==" spinCount="100000" sheet="1" objects="1" scenarios="1"/>
  <mergeCells count="69">
    <mergeCell ref="C98:G98"/>
    <mergeCell ref="B101:G101"/>
    <mergeCell ref="B103:G103"/>
    <mergeCell ref="B86:B89"/>
    <mergeCell ref="B90:B93"/>
    <mergeCell ref="B94:G94"/>
    <mergeCell ref="B95:G95"/>
    <mergeCell ref="B96:G96"/>
    <mergeCell ref="C97:G97"/>
    <mergeCell ref="B70:N70"/>
    <mergeCell ref="B71:N71"/>
    <mergeCell ref="B72:N72"/>
    <mergeCell ref="B73:N73"/>
    <mergeCell ref="B75:G75"/>
    <mergeCell ref="B78:B81"/>
    <mergeCell ref="E78:E93"/>
    <mergeCell ref="F78:F93"/>
    <mergeCell ref="G78:G93"/>
    <mergeCell ref="B82:B85"/>
    <mergeCell ref="B69:N69"/>
    <mergeCell ref="C54:E54"/>
    <mergeCell ref="B55:E55"/>
    <mergeCell ref="C57:E57"/>
    <mergeCell ref="C61:E61"/>
    <mergeCell ref="B63:B64"/>
    <mergeCell ref="C63:C64"/>
    <mergeCell ref="D63:D64"/>
    <mergeCell ref="E63:E64"/>
    <mergeCell ref="F63:H63"/>
    <mergeCell ref="I63:K63"/>
    <mergeCell ref="L63:N63"/>
    <mergeCell ref="C67:N67"/>
    <mergeCell ref="B68:N68"/>
    <mergeCell ref="C53:E53"/>
    <mergeCell ref="C36:E36"/>
    <mergeCell ref="B39:E39"/>
    <mergeCell ref="C40:E40"/>
    <mergeCell ref="C41:E41"/>
    <mergeCell ref="C42:E42"/>
    <mergeCell ref="B43:E43"/>
    <mergeCell ref="B45:E45"/>
    <mergeCell ref="B48:E48"/>
    <mergeCell ref="B50:E50"/>
    <mergeCell ref="B51:B52"/>
    <mergeCell ref="C51:E52"/>
    <mergeCell ref="C35:E35"/>
    <mergeCell ref="C19:E19"/>
    <mergeCell ref="C20:E20"/>
    <mergeCell ref="C21:E21"/>
    <mergeCell ref="C22:E22"/>
    <mergeCell ref="B25:E25"/>
    <mergeCell ref="B26:E26"/>
    <mergeCell ref="C28:C31"/>
    <mergeCell ref="D28:D31"/>
    <mergeCell ref="E28:E31"/>
    <mergeCell ref="B33:E33"/>
    <mergeCell ref="C34:E34"/>
    <mergeCell ref="C18:E18"/>
    <mergeCell ref="A1:B1"/>
    <mergeCell ref="C3:E3"/>
    <mergeCell ref="C5:E5"/>
    <mergeCell ref="B6:E6"/>
    <mergeCell ref="C8:E8"/>
    <mergeCell ref="B9:E9"/>
    <mergeCell ref="C11:E11"/>
    <mergeCell ref="B12:E12"/>
    <mergeCell ref="C14:E14"/>
    <mergeCell ref="B15:E15"/>
    <mergeCell ref="B17:E17"/>
  </mergeCells>
  <pageMargins left="0.7" right="0.7" top="0.75" bottom="0.75" header="0.3" footer="0.3"/>
  <pageSetup paperSize="8" scale="80" orientation="landscape" verticalDpi="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N108"/>
  <sheetViews>
    <sheetView view="pageBreakPreview" topLeftCell="A76" zoomScale="60" zoomScaleNormal="63" workbookViewId="0">
      <selection activeCell="G64" sqref="G64"/>
    </sheetView>
  </sheetViews>
  <sheetFormatPr defaultColWidth="8.84375" defaultRowHeight="13.25" x14ac:dyDescent="0.4"/>
  <cols>
    <col min="1" max="1" width="8.84375" style="8"/>
    <col min="2" max="2" width="40.84375" style="8" customWidth="1"/>
    <col min="3" max="3" width="42.69140625" style="8" customWidth="1"/>
    <col min="4" max="4" width="25.53515625" style="8" customWidth="1"/>
    <col min="5" max="5" width="15.07421875" style="8"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44" t="s">
        <v>1372</v>
      </c>
      <c r="D3" s="445"/>
      <c r="E3" s="358"/>
    </row>
    <row r="4" spans="1:5" x14ac:dyDescent="0.4">
      <c r="D4" s="5"/>
    </row>
    <row r="5" spans="1:5" x14ac:dyDescent="0.4">
      <c r="A5" s="36">
        <v>1</v>
      </c>
      <c r="B5" s="3" t="s">
        <v>3</v>
      </c>
      <c r="C5" s="458" t="s">
        <v>1373</v>
      </c>
      <c r="D5" s="458"/>
      <c r="E5" s="458"/>
    </row>
    <row r="6" spans="1:5" x14ac:dyDescent="0.4">
      <c r="A6" s="9"/>
      <c r="B6" s="480" t="s">
        <v>5</v>
      </c>
      <c r="C6" s="480"/>
      <c r="D6" s="480"/>
      <c r="E6" s="480"/>
    </row>
    <row r="7" spans="1:5" x14ac:dyDescent="0.4">
      <c r="A7" s="9"/>
      <c r="B7" s="11"/>
      <c r="D7" s="5"/>
    </row>
    <row r="8" spans="1:5" x14ac:dyDescent="0.4">
      <c r="A8" s="9">
        <v>2</v>
      </c>
      <c r="B8" s="3" t="s">
        <v>6</v>
      </c>
      <c r="C8" s="497" t="s">
        <v>1374</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1375</v>
      </c>
      <c r="D14" s="497"/>
      <c r="E14" s="497"/>
    </row>
    <row r="15" spans="1:5"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9.3946000000000002E-2</v>
      </c>
      <c r="D18" s="367"/>
      <c r="E18" s="367"/>
      <c r="F18" s="15"/>
      <c r="G18" s="13"/>
      <c r="H18" s="13"/>
      <c r="I18" s="13"/>
      <c r="J18" s="13"/>
      <c r="K18" s="13"/>
      <c r="L18" s="13"/>
      <c r="M18" s="13"/>
      <c r="N18" s="13"/>
    </row>
    <row r="19" spans="1:14" ht="25.65" x14ac:dyDescent="0.4">
      <c r="A19" s="9"/>
      <c r="B19" s="14" t="s">
        <v>1350</v>
      </c>
      <c r="C19" s="367">
        <v>4.2900000000000001E-2</v>
      </c>
      <c r="D19" s="367"/>
      <c r="E19" s="367"/>
      <c r="F19" s="15"/>
      <c r="G19" s="13"/>
      <c r="I19" s="13"/>
      <c r="J19" s="13"/>
      <c r="K19" s="13"/>
      <c r="L19" s="13"/>
      <c r="M19" s="13"/>
      <c r="N19" s="13"/>
    </row>
    <row r="20" spans="1:14" x14ac:dyDescent="0.4">
      <c r="A20" s="9"/>
      <c r="B20" s="14" t="s">
        <v>605</v>
      </c>
      <c r="C20" s="367" t="s">
        <v>319</v>
      </c>
      <c r="D20" s="354"/>
      <c r="E20" s="354"/>
      <c r="F20" s="15"/>
      <c r="G20" s="13"/>
      <c r="H20" s="13"/>
      <c r="I20" s="13"/>
      <c r="J20" s="13"/>
      <c r="K20" s="13"/>
      <c r="L20" s="13"/>
      <c r="M20" s="13"/>
      <c r="N20" s="13"/>
    </row>
    <row r="21" spans="1:14" x14ac:dyDescent="0.4">
      <c r="A21" s="9"/>
      <c r="B21" s="14" t="s">
        <v>15</v>
      </c>
      <c r="C21" s="367" t="s">
        <v>320</v>
      </c>
      <c r="D21" s="354"/>
      <c r="E21" s="354"/>
      <c r="F21" s="15"/>
      <c r="G21" s="13"/>
      <c r="H21" s="13"/>
      <c r="I21" s="13"/>
      <c r="J21" s="13"/>
      <c r="K21" s="13"/>
      <c r="L21" s="13"/>
      <c r="M21" s="13"/>
      <c r="N21" s="13"/>
    </row>
    <row r="22" spans="1:14" x14ac:dyDescent="0.4">
      <c r="A22" s="9"/>
      <c r="B22" s="14" t="s">
        <v>16</v>
      </c>
      <c r="C22" s="550" t="s">
        <v>201</v>
      </c>
      <c r="D22" s="550"/>
      <c r="E22" s="550"/>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ht="12.7" customHeight="1" x14ac:dyDescent="0.4">
      <c r="A28" s="9"/>
      <c r="B28" s="19" t="s">
        <v>1272</v>
      </c>
      <c r="C28" s="540" t="s">
        <v>319</v>
      </c>
      <c r="D28" s="540" t="s">
        <v>264</v>
      </c>
      <c r="E28" s="540" t="s">
        <v>203</v>
      </c>
      <c r="F28" s="15"/>
    </row>
    <row r="29" spans="1:14" x14ac:dyDescent="0.4">
      <c r="A29" s="9"/>
      <c r="B29" s="19" t="s">
        <v>25</v>
      </c>
      <c r="C29" s="541"/>
      <c r="D29" s="541"/>
      <c r="E29" s="541"/>
      <c r="F29" s="15"/>
    </row>
    <row r="30" spans="1:14" x14ac:dyDescent="0.4">
      <c r="A30" s="9"/>
      <c r="B30" s="19" t="s">
        <v>26</v>
      </c>
      <c r="C30" s="541"/>
      <c r="D30" s="541"/>
      <c r="E30" s="541"/>
      <c r="F30" s="15"/>
    </row>
    <row r="31" spans="1:14" x14ac:dyDescent="0.4">
      <c r="A31" s="9"/>
      <c r="B31" s="19" t="s">
        <v>27</v>
      </c>
      <c r="C31" s="542"/>
      <c r="D31" s="542"/>
      <c r="E31" s="542"/>
      <c r="F31" s="15"/>
    </row>
    <row r="32" spans="1:14" x14ac:dyDescent="0.4">
      <c r="A32" s="9"/>
      <c r="B32" s="13"/>
      <c r="C32" s="15"/>
      <c r="D32" s="15"/>
      <c r="E32" s="15"/>
      <c r="F32" s="15"/>
    </row>
    <row r="33" spans="1:10" x14ac:dyDescent="0.4">
      <c r="A33" s="9">
        <v>7</v>
      </c>
      <c r="B33" s="365" t="s">
        <v>28</v>
      </c>
      <c r="C33" s="365"/>
      <c r="D33" s="365"/>
      <c r="E33" s="365"/>
      <c r="F33" s="11"/>
      <c r="G33" s="11"/>
      <c r="H33" s="11"/>
      <c r="I33" s="11"/>
      <c r="J33" s="11"/>
    </row>
    <row r="34" spans="1:10" x14ac:dyDescent="0.4">
      <c r="A34" s="9"/>
      <c r="B34" s="17" t="s">
        <v>29</v>
      </c>
      <c r="C34" s="497" t="s">
        <v>319</v>
      </c>
      <c r="D34" s="497"/>
      <c r="E34" s="497"/>
      <c r="F34" s="13"/>
    </row>
    <row r="35" spans="1:10" x14ac:dyDescent="0.4">
      <c r="A35" s="9"/>
      <c r="B35" s="17" t="s">
        <v>31</v>
      </c>
      <c r="C35" s="497" t="s">
        <v>320</v>
      </c>
      <c r="D35" s="497"/>
      <c r="E35" s="497"/>
      <c r="F35" s="13"/>
    </row>
    <row r="36" spans="1:10" x14ac:dyDescent="0.4">
      <c r="A36" s="9"/>
      <c r="B36" s="17" t="s">
        <v>32</v>
      </c>
      <c r="C36" s="497" t="s">
        <v>201</v>
      </c>
      <c r="D36" s="497"/>
      <c r="E36" s="497"/>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373" t="s">
        <v>1351</v>
      </c>
      <c r="D40" s="374"/>
      <c r="E40" s="375"/>
      <c r="F40" s="13"/>
    </row>
    <row r="41" spans="1:10" x14ac:dyDescent="0.4">
      <c r="A41" s="9"/>
      <c r="B41" s="17" t="s">
        <v>31</v>
      </c>
      <c r="C41" s="373" t="s">
        <v>1071</v>
      </c>
      <c r="D41" s="374"/>
      <c r="E41" s="375"/>
      <c r="F41" s="13"/>
    </row>
    <row r="42" spans="1:10" x14ac:dyDescent="0.4">
      <c r="A42" s="9"/>
      <c r="B42" s="17" t="s">
        <v>32</v>
      </c>
      <c r="C42" s="446" t="s">
        <v>1072</v>
      </c>
      <c r="D42" s="446"/>
      <c r="E42" s="446"/>
      <c r="F42" s="13"/>
    </row>
    <row r="43" spans="1:10" x14ac:dyDescent="0.4">
      <c r="A43" s="9"/>
      <c r="B43" s="363" t="s">
        <v>35</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51.25" x14ac:dyDescent="0.4">
      <c r="A46" s="24"/>
      <c r="B46" s="26" t="s">
        <v>37</v>
      </c>
      <c r="C46" s="27" t="s">
        <v>38</v>
      </c>
      <c r="D46" s="27" t="s">
        <v>1476</v>
      </c>
      <c r="E46" s="27" t="s">
        <v>206</v>
      </c>
    </row>
    <row r="47" spans="1:10" ht="106.05" x14ac:dyDescent="0.4">
      <c r="A47" s="29"/>
      <c r="B47" s="78" t="s">
        <v>1376</v>
      </c>
      <c r="C47" s="78" t="s">
        <v>1377</v>
      </c>
      <c r="D47" s="78" t="s">
        <v>1475</v>
      </c>
      <c r="E47" s="117" t="s">
        <v>83</v>
      </c>
    </row>
    <row r="48" spans="1:10" x14ac:dyDescent="0.4">
      <c r="A48" s="31"/>
      <c r="B48" s="380"/>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383" t="s">
        <v>43</v>
      </c>
      <c r="C51" s="617" t="s">
        <v>1378</v>
      </c>
      <c r="D51" s="618"/>
      <c r="E51" s="619"/>
      <c r="K51" s="1"/>
    </row>
    <row r="52" spans="1:14" ht="46.5" customHeight="1" x14ac:dyDescent="0.4">
      <c r="A52" s="29"/>
      <c r="B52" s="384"/>
      <c r="C52" s="620"/>
      <c r="D52" s="621"/>
      <c r="E52" s="622"/>
      <c r="K52" s="1"/>
    </row>
    <row r="53" spans="1:14" ht="60.75" customHeight="1" x14ac:dyDescent="0.4">
      <c r="A53" s="24"/>
      <c r="B53" s="33" t="s">
        <v>44</v>
      </c>
      <c r="C53" s="391" t="s">
        <v>1477</v>
      </c>
      <c r="D53" s="391"/>
      <c r="E53" s="391"/>
    </row>
    <row r="54" spans="1:14" x14ac:dyDescent="0.4">
      <c r="A54" s="29"/>
      <c r="B54" s="33" t="s">
        <v>45</v>
      </c>
      <c r="C54" s="471" t="s">
        <v>46</v>
      </c>
      <c r="D54" s="472"/>
      <c r="E54" s="473"/>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1037</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11"/>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446" t="s">
        <v>1379</v>
      </c>
      <c r="D61" s="446"/>
      <c r="E61" s="446"/>
      <c r="F61" s="44"/>
      <c r="G61" s="44"/>
      <c r="H61" s="15"/>
      <c r="I61" s="15"/>
      <c r="J61" s="15"/>
      <c r="K61" s="15"/>
      <c r="L61" s="15"/>
      <c r="M61" s="15"/>
      <c r="N61" s="15"/>
    </row>
    <row r="62" spans="1:14" x14ac:dyDescent="0.4">
      <c r="A62" s="9"/>
      <c r="B62" s="15"/>
      <c r="C62" s="15"/>
      <c r="D62" s="15"/>
      <c r="E62" s="15"/>
      <c r="F62" s="15"/>
      <c r="G62" s="44"/>
      <c r="H62" s="15"/>
      <c r="I62" s="15"/>
      <c r="J62" s="15"/>
      <c r="K62" s="15"/>
      <c r="L62" s="15"/>
      <c r="M62" s="15"/>
      <c r="N62" s="15"/>
    </row>
    <row r="63" spans="1:14" ht="30.05" customHeight="1" x14ac:dyDescent="0.4">
      <c r="A63" s="9"/>
      <c r="B63" s="365" t="s">
        <v>53</v>
      </c>
      <c r="C63" s="366" t="s">
        <v>1380</v>
      </c>
      <c r="D63" s="366" t="s">
        <v>1381</v>
      </c>
      <c r="E63" s="403" t="s">
        <v>1382</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179.55</v>
      </c>
      <c r="D65" s="101">
        <v>231.5</v>
      </c>
      <c r="E65" s="101">
        <v>240.1</v>
      </c>
      <c r="F65" s="101" t="s">
        <v>41</v>
      </c>
      <c r="G65" s="101" t="s">
        <v>41</v>
      </c>
      <c r="H65" s="101" t="s">
        <v>41</v>
      </c>
      <c r="I65" s="101" t="s">
        <v>41</v>
      </c>
      <c r="J65" s="101" t="s">
        <v>41</v>
      </c>
      <c r="K65" s="101" t="s">
        <v>41</v>
      </c>
      <c r="L65" s="101" t="s">
        <v>41</v>
      </c>
      <c r="M65" s="101" t="s">
        <v>41</v>
      </c>
      <c r="N65" s="101" t="s">
        <v>41</v>
      </c>
    </row>
    <row r="66" spans="1:14" ht="25.65" x14ac:dyDescent="0.4">
      <c r="A66" s="2"/>
      <c r="B66" s="17" t="s">
        <v>216</v>
      </c>
      <c r="C66" s="54">
        <v>62787.47</v>
      </c>
      <c r="D66" s="54">
        <v>65479.05</v>
      </c>
      <c r="E66" s="54">
        <v>65628.14</v>
      </c>
      <c r="F66" s="101" t="s">
        <v>41</v>
      </c>
      <c r="G66" s="101" t="s">
        <v>41</v>
      </c>
      <c r="H66" s="101" t="s">
        <v>41</v>
      </c>
      <c r="I66" s="101" t="s">
        <v>41</v>
      </c>
      <c r="J66" s="101" t="s">
        <v>41</v>
      </c>
      <c r="K66" s="101" t="s">
        <v>41</v>
      </c>
      <c r="L66" s="45" t="s">
        <v>41</v>
      </c>
      <c r="M66" s="45" t="s">
        <v>41</v>
      </c>
      <c r="N66" s="45" t="s">
        <v>41</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551" t="s">
        <v>1092</v>
      </c>
      <c r="C68" s="545"/>
      <c r="D68" s="545"/>
      <c r="E68" s="545"/>
      <c r="F68" s="545"/>
      <c r="G68" s="545"/>
      <c r="H68" s="545"/>
      <c r="I68" s="545"/>
      <c r="J68" s="545"/>
      <c r="K68" s="545"/>
      <c r="L68" s="545"/>
      <c r="M68" s="545"/>
      <c r="N68" s="545"/>
    </row>
    <row r="69" spans="1:14" x14ac:dyDescent="0.4">
      <c r="A69" s="2"/>
      <c r="B69" s="480" t="s">
        <v>63</v>
      </c>
      <c r="C69" s="480"/>
      <c r="D69" s="480"/>
      <c r="E69" s="480"/>
      <c r="F69" s="480"/>
      <c r="G69" s="480"/>
      <c r="H69" s="480"/>
      <c r="I69" s="480"/>
      <c r="J69" s="480"/>
      <c r="K69" s="480"/>
      <c r="L69" s="480"/>
      <c r="M69" s="480"/>
      <c r="N69" s="480"/>
    </row>
    <row r="70" spans="1:14" s="1" customFormat="1" x14ac:dyDescent="0.4">
      <c r="B70" s="474" t="s">
        <v>64</v>
      </c>
      <c r="C70" s="474"/>
      <c r="D70" s="474"/>
      <c r="E70" s="474"/>
      <c r="F70" s="474"/>
      <c r="G70" s="474"/>
      <c r="H70" s="474"/>
      <c r="I70" s="474"/>
      <c r="J70" s="474"/>
      <c r="K70" s="474"/>
      <c r="L70" s="474"/>
      <c r="M70" s="474"/>
      <c r="N70" s="474"/>
    </row>
    <row r="71" spans="1:14" x14ac:dyDescent="0.4">
      <c r="A71" s="2"/>
      <c r="B71" s="359" t="s">
        <v>358</v>
      </c>
      <c r="C71" s="359"/>
      <c r="D71" s="359"/>
      <c r="E71" s="359"/>
      <c r="F71" s="359"/>
      <c r="G71" s="359"/>
      <c r="H71" s="359"/>
      <c r="I71" s="359"/>
      <c r="J71" s="359"/>
      <c r="K71" s="359"/>
      <c r="L71" s="359"/>
      <c r="M71" s="359"/>
      <c r="N71" s="359"/>
    </row>
    <row r="72" spans="1:14" x14ac:dyDescent="0.4">
      <c r="A72" s="2"/>
      <c r="B72" s="359" t="s">
        <v>65</v>
      </c>
      <c r="C72" s="359"/>
      <c r="D72" s="359"/>
      <c r="E72" s="359"/>
      <c r="F72" s="359"/>
      <c r="G72" s="359"/>
      <c r="H72" s="359"/>
      <c r="I72" s="359"/>
      <c r="J72" s="359"/>
      <c r="K72" s="359"/>
      <c r="L72" s="359"/>
      <c r="M72" s="359"/>
      <c r="N72" s="359"/>
    </row>
    <row r="73" spans="1:14" x14ac:dyDescent="0.4">
      <c r="A73" s="2"/>
      <c r="B73" s="49"/>
      <c r="C73" s="49"/>
      <c r="D73" s="49"/>
      <c r="E73" s="49"/>
      <c r="F73" s="49"/>
      <c r="G73" s="13"/>
      <c r="H73" s="13"/>
      <c r="I73" s="13"/>
      <c r="J73" s="13"/>
      <c r="K73" s="13"/>
      <c r="L73" s="13"/>
      <c r="M73" s="13"/>
      <c r="N73" s="13"/>
    </row>
    <row r="74" spans="1:14" ht="29.3" customHeight="1" x14ac:dyDescent="0.4">
      <c r="A74" s="9">
        <v>13</v>
      </c>
      <c r="B74" s="405" t="s">
        <v>66</v>
      </c>
      <c r="C74" s="406"/>
      <c r="D74" s="406"/>
      <c r="E74" s="406"/>
      <c r="F74" s="406"/>
      <c r="G74" s="376"/>
      <c r="H74" s="11"/>
      <c r="I74" s="11"/>
      <c r="J74" s="11"/>
      <c r="K74" s="11"/>
      <c r="L74" s="11"/>
      <c r="M74" s="11"/>
      <c r="N74" s="11"/>
    </row>
    <row r="75" spans="1:14" x14ac:dyDescent="0.4">
      <c r="A75" s="9"/>
      <c r="C75" s="15"/>
      <c r="D75" s="15"/>
      <c r="E75" s="15"/>
      <c r="F75" s="15"/>
      <c r="G75" s="15"/>
      <c r="H75" s="15"/>
      <c r="I75" s="15"/>
      <c r="J75" s="15"/>
      <c r="K75" s="15"/>
      <c r="L75" s="15"/>
      <c r="M75" s="15"/>
      <c r="N75" s="15"/>
    </row>
    <row r="76" spans="1:14" ht="25.65" x14ac:dyDescent="0.4">
      <c r="A76" s="2"/>
      <c r="B76" s="50" t="s">
        <v>67</v>
      </c>
      <c r="C76" s="18" t="s">
        <v>68</v>
      </c>
      <c r="D76" s="18" t="s">
        <v>1127</v>
      </c>
      <c r="E76" s="18" t="s">
        <v>218</v>
      </c>
      <c r="F76" s="18" t="s">
        <v>71</v>
      </c>
      <c r="G76" s="18" t="s">
        <v>107</v>
      </c>
      <c r="H76" s="13"/>
      <c r="I76" s="13"/>
      <c r="J76" s="13"/>
      <c r="K76" s="13"/>
      <c r="L76" s="13"/>
      <c r="M76" s="13"/>
      <c r="N76" s="13"/>
    </row>
    <row r="77" spans="1:14" ht="25.55" customHeight="1" x14ac:dyDescent="0.4">
      <c r="A77" s="2"/>
      <c r="B77" s="394" t="s">
        <v>1271</v>
      </c>
      <c r="C77" s="21" t="s">
        <v>1383</v>
      </c>
      <c r="D77" s="151">
        <v>10.26</v>
      </c>
      <c r="E77" s="435" t="s">
        <v>1362</v>
      </c>
      <c r="F77" s="643" t="s">
        <v>1363</v>
      </c>
      <c r="G77" s="435" t="s">
        <v>220</v>
      </c>
      <c r="H77" s="53"/>
      <c r="I77" s="53"/>
      <c r="J77" s="53"/>
      <c r="K77" s="53"/>
      <c r="L77" s="53"/>
      <c r="M77" s="53"/>
      <c r="N77" s="53"/>
    </row>
    <row r="78" spans="1:14" x14ac:dyDescent="0.4">
      <c r="A78" s="2"/>
      <c r="B78" s="394"/>
      <c r="C78" s="3" t="s">
        <v>765</v>
      </c>
      <c r="D78" s="151"/>
      <c r="E78" s="436"/>
      <c r="F78" s="644"/>
      <c r="G78" s="436"/>
      <c r="H78" s="53"/>
      <c r="I78" s="53"/>
      <c r="J78" s="53"/>
      <c r="K78" s="53"/>
      <c r="L78" s="53"/>
      <c r="M78" s="53"/>
      <c r="N78" s="53"/>
    </row>
    <row r="79" spans="1:14" x14ac:dyDescent="0.4">
      <c r="A79" s="2"/>
      <c r="B79" s="394"/>
      <c r="C79" s="21" t="s">
        <v>1384</v>
      </c>
      <c r="D79" s="151">
        <v>18.690000000000001</v>
      </c>
      <c r="E79" s="436"/>
      <c r="F79" s="644"/>
      <c r="G79" s="436"/>
      <c r="H79" s="53"/>
      <c r="I79" s="53"/>
      <c r="J79" s="53"/>
      <c r="K79" s="53"/>
      <c r="L79" s="53"/>
      <c r="M79" s="53"/>
      <c r="N79" s="53"/>
    </row>
    <row r="80" spans="1:14" x14ac:dyDescent="0.4">
      <c r="A80" s="2"/>
      <c r="B80" s="394"/>
      <c r="C80" s="3" t="s">
        <v>74</v>
      </c>
      <c r="D80" s="153">
        <v>18.690000000000001</v>
      </c>
      <c r="E80" s="436"/>
      <c r="F80" s="644"/>
      <c r="G80" s="436"/>
      <c r="H80" s="53"/>
      <c r="I80" s="53"/>
      <c r="J80" s="53"/>
      <c r="K80" s="53"/>
      <c r="L80" s="53"/>
      <c r="M80" s="53"/>
      <c r="N80" s="53"/>
    </row>
    <row r="81" spans="1:14" x14ac:dyDescent="0.4">
      <c r="A81" s="2"/>
      <c r="B81" s="394" t="s">
        <v>75</v>
      </c>
      <c r="C81" s="21" t="s">
        <v>1385</v>
      </c>
      <c r="D81" s="154">
        <v>8.75</v>
      </c>
      <c r="E81" s="436"/>
      <c r="F81" s="644"/>
      <c r="G81" s="436"/>
      <c r="H81" s="53"/>
      <c r="I81" s="53"/>
      <c r="J81" s="53"/>
      <c r="K81" s="53"/>
      <c r="L81" s="53"/>
      <c r="M81" s="53"/>
      <c r="N81" s="53"/>
    </row>
    <row r="82" spans="1:14" x14ac:dyDescent="0.4">
      <c r="A82" s="2"/>
      <c r="B82" s="394"/>
      <c r="C82" s="3" t="s">
        <v>73</v>
      </c>
      <c r="D82" s="151"/>
      <c r="E82" s="436"/>
      <c r="F82" s="644"/>
      <c r="G82" s="436"/>
      <c r="H82" s="53"/>
      <c r="I82" s="53"/>
      <c r="J82" s="53"/>
      <c r="K82" s="53"/>
      <c r="L82" s="53"/>
      <c r="M82" s="53"/>
      <c r="N82" s="53"/>
    </row>
    <row r="83" spans="1:14" x14ac:dyDescent="0.4">
      <c r="A83" s="2"/>
      <c r="B83" s="394"/>
      <c r="C83" s="21" t="s">
        <v>1384</v>
      </c>
      <c r="D83" s="151">
        <v>51.65</v>
      </c>
      <c r="E83" s="436"/>
      <c r="F83" s="644"/>
      <c r="G83" s="436"/>
      <c r="H83" s="53"/>
      <c r="I83" s="53"/>
      <c r="J83" s="53"/>
      <c r="K83" s="53"/>
      <c r="L83" s="53"/>
      <c r="M83" s="53"/>
      <c r="N83" s="53"/>
    </row>
    <row r="84" spans="1:14" x14ac:dyDescent="0.4">
      <c r="A84" s="2"/>
      <c r="B84" s="394"/>
      <c r="C84" s="3" t="s">
        <v>74</v>
      </c>
      <c r="D84" s="153">
        <v>51.65</v>
      </c>
      <c r="E84" s="436"/>
      <c r="F84" s="644"/>
      <c r="G84" s="436"/>
      <c r="H84" s="53"/>
      <c r="I84" s="53"/>
      <c r="J84" s="53"/>
      <c r="K84" s="53"/>
      <c r="L84" s="53"/>
      <c r="M84" s="53"/>
      <c r="N84" s="53"/>
    </row>
    <row r="85" spans="1:14" x14ac:dyDescent="0.4">
      <c r="A85" s="2"/>
      <c r="B85" s="394" t="s">
        <v>76</v>
      </c>
      <c r="C85" s="3" t="s">
        <v>1386</v>
      </c>
      <c r="D85" s="151">
        <v>32.42</v>
      </c>
      <c r="E85" s="436"/>
      <c r="F85" s="644"/>
      <c r="G85" s="436"/>
      <c r="H85" s="53"/>
      <c r="I85" s="53"/>
      <c r="J85" s="53"/>
      <c r="K85" s="53"/>
      <c r="L85" s="53"/>
      <c r="M85" s="53"/>
      <c r="N85" s="53"/>
    </row>
    <row r="86" spans="1:14" x14ac:dyDescent="0.4">
      <c r="A86" s="2"/>
      <c r="B86" s="394"/>
      <c r="C86" s="3" t="s">
        <v>73</v>
      </c>
      <c r="D86" s="151"/>
      <c r="E86" s="436"/>
      <c r="F86" s="644"/>
      <c r="G86" s="436"/>
      <c r="H86" s="53"/>
      <c r="I86" s="53"/>
      <c r="J86" s="53"/>
      <c r="K86" s="53"/>
      <c r="L86" s="53"/>
      <c r="M86" s="53"/>
      <c r="N86" s="53"/>
    </row>
    <row r="87" spans="1:14" x14ac:dyDescent="0.4">
      <c r="A87" s="2"/>
      <c r="B87" s="394"/>
      <c r="C87" s="21" t="s">
        <v>1384</v>
      </c>
      <c r="D87" s="151">
        <v>14.44</v>
      </c>
      <c r="E87" s="436"/>
      <c r="F87" s="644"/>
      <c r="G87" s="436"/>
      <c r="H87" s="53"/>
      <c r="I87" s="53"/>
      <c r="J87" s="53"/>
      <c r="K87" s="53"/>
      <c r="L87" s="53"/>
      <c r="M87" s="53"/>
      <c r="N87" s="53"/>
    </row>
    <row r="88" spans="1:14" x14ac:dyDescent="0.4">
      <c r="A88" s="2"/>
      <c r="B88" s="394"/>
      <c r="C88" s="3" t="s">
        <v>74</v>
      </c>
      <c r="D88" s="153">
        <v>14.44</v>
      </c>
      <c r="E88" s="436"/>
      <c r="F88" s="644"/>
      <c r="G88" s="436"/>
      <c r="H88" s="53"/>
      <c r="I88" s="53"/>
      <c r="J88" s="53"/>
      <c r="K88" s="53"/>
      <c r="L88" s="53"/>
      <c r="M88" s="53"/>
      <c r="N88" s="53"/>
    </row>
    <row r="89" spans="1:14" x14ac:dyDescent="0.4">
      <c r="A89" s="2"/>
      <c r="B89" s="394" t="s">
        <v>77</v>
      </c>
      <c r="C89" s="3" t="s">
        <v>1386</v>
      </c>
      <c r="D89" s="151">
        <v>31.7</v>
      </c>
      <c r="E89" s="436"/>
      <c r="F89" s="644"/>
      <c r="G89" s="436"/>
      <c r="H89" s="53"/>
      <c r="I89" s="53"/>
      <c r="J89" s="53"/>
      <c r="K89" s="53"/>
      <c r="L89" s="53"/>
      <c r="M89" s="53"/>
      <c r="N89" s="53"/>
    </row>
    <row r="90" spans="1:14" x14ac:dyDescent="0.4">
      <c r="A90" s="2"/>
      <c r="B90" s="394"/>
      <c r="C90" s="3" t="s">
        <v>73</v>
      </c>
      <c r="D90" s="151"/>
      <c r="E90" s="436"/>
      <c r="F90" s="644"/>
      <c r="G90" s="436"/>
      <c r="H90" s="53"/>
      <c r="I90" s="53"/>
      <c r="J90" s="53"/>
      <c r="K90" s="53"/>
      <c r="L90" s="53"/>
      <c r="M90" s="53"/>
      <c r="N90" s="53"/>
    </row>
    <row r="91" spans="1:14" x14ac:dyDescent="0.4">
      <c r="A91" s="2"/>
      <c r="B91" s="411"/>
      <c r="C91" s="21" t="s">
        <v>1384</v>
      </c>
      <c r="D91" s="151">
        <v>129.41</v>
      </c>
      <c r="E91" s="436"/>
      <c r="F91" s="644"/>
      <c r="G91" s="436"/>
      <c r="H91" s="53"/>
      <c r="I91" s="53"/>
      <c r="J91" s="53"/>
      <c r="K91" s="53"/>
      <c r="L91" s="53"/>
      <c r="M91" s="53"/>
      <c r="N91" s="53"/>
    </row>
    <row r="92" spans="1:14" x14ac:dyDescent="0.4">
      <c r="A92" s="2"/>
      <c r="B92" s="411"/>
      <c r="C92" s="3" t="s">
        <v>74</v>
      </c>
      <c r="D92" s="153">
        <v>129.41</v>
      </c>
      <c r="E92" s="547"/>
      <c r="F92" s="645"/>
      <c r="G92" s="436"/>
      <c r="H92" s="53"/>
      <c r="I92" s="53"/>
      <c r="J92" s="53"/>
      <c r="K92" s="53"/>
      <c r="L92" s="53"/>
      <c r="M92" s="53"/>
      <c r="N92" s="53"/>
    </row>
    <row r="93" spans="1:14" s="1" customFormat="1" x14ac:dyDescent="0.4">
      <c r="B93" s="412"/>
      <c r="C93" s="413"/>
      <c r="D93" s="413"/>
      <c r="E93" s="413"/>
      <c r="F93" s="413"/>
      <c r="G93" s="414"/>
    </row>
    <row r="94" spans="1:14" x14ac:dyDescent="0.4">
      <c r="A94" s="2"/>
      <c r="B94" s="415" t="s">
        <v>1387</v>
      </c>
      <c r="C94" s="416"/>
      <c r="D94" s="416"/>
      <c r="E94" s="416"/>
      <c r="F94" s="416"/>
      <c r="G94" s="417"/>
      <c r="H94" s="53"/>
      <c r="I94" s="53"/>
      <c r="J94" s="53"/>
      <c r="K94" s="53"/>
      <c r="L94" s="53"/>
      <c r="M94" s="53"/>
      <c r="N94" s="53"/>
    </row>
    <row r="95" spans="1:14" x14ac:dyDescent="0.4">
      <c r="A95" s="2"/>
      <c r="B95" s="418" t="s">
        <v>85</v>
      </c>
      <c r="C95" s="419"/>
      <c r="D95" s="419"/>
      <c r="E95" s="419"/>
      <c r="F95" s="419"/>
      <c r="G95" s="420"/>
      <c r="H95" s="53"/>
      <c r="I95" s="53"/>
      <c r="J95" s="53"/>
      <c r="K95" s="53"/>
      <c r="L95" s="53"/>
      <c r="M95" s="53"/>
      <c r="N95" s="53"/>
    </row>
    <row r="96" spans="1:14" x14ac:dyDescent="0.4">
      <c r="A96" s="2"/>
      <c r="B96" s="363"/>
      <c r="C96" s="368"/>
      <c r="D96" s="368"/>
      <c r="E96" s="368"/>
      <c r="F96" s="368"/>
      <c r="G96" s="369"/>
      <c r="H96" s="53"/>
      <c r="I96" s="53"/>
      <c r="J96" s="53"/>
      <c r="K96" s="53"/>
      <c r="L96" s="53"/>
      <c r="M96" s="53"/>
      <c r="N96" s="53"/>
    </row>
    <row r="97" spans="1:9" x14ac:dyDescent="0.4">
      <c r="C97" s="407"/>
      <c r="D97" s="407"/>
      <c r="E97" s="407"/>
      <c r="F97" s="407"/>
      <c r="G97" s="407"/>
      <c r="H97" s="53"/>
      <c r="I97" s="53"/>
    </row>
    <row r="98" spans="1:9" x14ac:dyDescent="0.4">
      <c r="A98" s="9">
        <v>14</v>
      </c>
      <c r="B98" s="61" t="s">
        <v>78</v>
      </c>
      <c r="C98" s="458" t="s">
        <v>41</v>
      </c>
      <c r="D98" s="458"/>
      <c r="E98" s="458"/>
      <c r="F98" s="458"/>
      <c r="G98" s="458"/>
    </row>
    <row r="99" spans="1:9" x14ac:dyDescent="0.4">
      <c r="A99" s="23"/>
      <c r="B99" s="448"/>
      <c r="C99" s="449"/>
      <c r="D99" s="449"/>
      <c r="E99" s="449"/>
      <c r="F99" s="449"/>
      <c r="G99" s="450"/>
    </row>
    <row r="102" spans="1:9" x14ac:dyDescent="0.4">
      <c r="B102" s="548" t="s">
        <v>1388</v>
      </c>
      <c r="C102" s="549"/>
      <c r="D102" s="549"/>
      <c r="E102" s="549"/>
      <c r="F102" s="549"/>
      <c r="G102" s="549"/>
      <c r="H102" s="295"/>
    </row>
    <row r="104" spans="1:9" x14ac:dyDescent="0.4">
      <c r="B104" s="539"/>
      <c r="C104" s="539"/>
      <c r="D104" s="539"/>
      <c r="E104" s="539"/>
      <c r="F104" s="539"/>
      <c r="G104" s="539"/>
    </row>
    <row r="106" spans="1:9" x14ac:dyDescent="0.4">
      <c r="C106" s="230"/>
      <c r="D106" s="230"/>
    </row>
    <row r="107" spans="1:9" x14ac:dyDescent="0.4">
      <c r="D107" s="107"/>
      <c r="E107" s="107"/>
    </row>
    <row r="108" spans="1:9" x14ac:dyDescent="0.4">
      <c r="C108" s="230"/>
      <c r="D108" s="230"/>
      <c r="E108" s="107"/>
    </row>
  </sheetData>
  <sheetProtection algorithmName="SHA-512" hashValue="2eDiMnxL7sJn7z2kXOdKH+9GIBZX6qLQANAj2PhbwCrpt27v53Fi0jC/pjj0NHZzc7m1SwzrXHiYfh83g3Q/aA==" saltValue="gk53oKQl7FouqoHPnJrGkA==" spinCount="100000" sheet="1" objects="1" scenarios="1"/>
  <mergeCells count="70">
    <mergeCell ref="C18:E18"/>
    <mergeCell ref="A1:B1"/>
    <mergeCell ref="C3:E3"/>
    <mergeCell ref="C5:E5"/>
    <mergeCell ref="B6:E6"/>
    <mergeCell ref="C8:E8"/>
    <mergeCell ref="B9:E9"/>
    <mergeCell ref="C11:E11"/>
    <mergeCell ref="B12:E12"/>
    <mergeCell ref="C14:E14"/>
    <mergeCell ref="B15:E15"/>
    <mergeCell ref="B17:E17"/>
    <mergeCell ref="C35:E35"/>
    <mergeCell ref="C19:E19"/>
    <mergeCell ref="C20:E20"/>
    <mergeCell ref="C21:E21"/>
    <mergeCell ref="C22:E22"/>
    <mergeCell ref="B25:E25"/>
    <mergeCell ref="B26:E26"/>
    <mergeCell ref="C28:C31"/>
    <mergeCell ref="D28:D31"/>
    <mergeCell ref="E28:E31"/>
    <mergeCell ref="B33:E33"/>
    <mergeCell ref="C34:E34"/>
    <mergeCell ref="C53:E53"/>
    <mergeCell ref="C36:E36"/>
    <mergeCell ref="B39:E39"/>
    <mergeCell ref="C40:E40"/>
    <mergeCell ref="C41:E41"/>
    <mergeCell ref="C42:E42"/>
    <mergeCell ref="B43:E43"/>
    <mergeCell ref="B45:E45"/>
    <mergeCell ref="B48:E48"/>
    <mergeCell ref="B50:E50"/>
    <mergeCell ref="B51:B52"/>
    <mergeCell ref="C51:E52"/>
    <mergeCell ref="B69:N69"/>
    <mergeCell ref="C54:E54"/>
    <mergeCell ref="B55:E55"/>
    <mergeCell ref="C57:E57"/>
    <mergeCell ref="C61:E61"/>
    <mergeCell ref="B63:B64"/>
    <mergeCell ref="C63:C64"/>
    <mergeCell ref="D63:D64"/>
    <mergeCell ref="E63:E64"/>
    <mergeCell ref="F63:H63"/>
    <mergeCell ref="I63:K63"/>
    <mergeCell ref="L63:N63"/>
    <mergeCell ref="C67:N67"/>
    <mergeCell ref="B68:N68"/>
    <mergeCell ref="B70:N70"/>
    <mergeCell ref="B71:N71"/>
    <mergeCell ref="B72:N72"/>
    <mergeCell ref="B74:G74"/>
    <mergeCell ref="B77:B80"/>
    <mergeCell ref="E77:E92"/>
    <mergeCell ref="F77:F92"/>
    <mergeCell ref="G77:G92"/>
    <mergeCell ref="B81:B84"/>
    <mergeCell ref="B85:B88"/>
    <mergeCell ref="C98:G98"/>
    <mergeCell ref="B99:G99"/>
    <mergeCell ref="B102:G102"/>
    <mergeCell ref="B104:G104"/>
    <mergeCell ref="B89:B92"/>
    <mergeCell ref="B93:G93"/>
    <mergeCell ref="B94:G94"/>
    <mergeCell ref="B95:G95"/>
    <mergeCell ref="B96:G96"/>
    <mergeCell ref="C97:G97"/>
  </mergeCells>
  <pageMargins left="0.7" right="0.7" top="0.75" bottom="0.75" header="0.3" footer="0.3"/>
  <pageSetup paperSize="8" scale="77" orientation="landscape" verticalDpi="0" r:id="rId1"/>
  <rowBreaks count="1" manualBreakCount="1">
    <brk id="47" max="1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N120"/>
  <sheetViews>
    <sheetView view="pageBreakPreview" topLeftCell="A53" zoomScale="60" zoomScaleNormal="100" workbookViewId="0">
      <selection activeCell="B61" sqref="B61:E61"/>
    </sheetView>
  </sheetViews>
  <sheetFormatPr defaultColWidth="8.84375" defaultRowHeight="13.25" x14ac:dyDescent="0.4"/>
  <cols>
    <col min="1" max="1" width="8.84375" style="8"/>
    <col min="2" max="2" width="40.84375" style="8" customWidth="1"/>
    <col min="3" max="3" width="42.69140625" style="8" customWidth="1"/>
    <col min="4" max="4" width="25.53515625" style="8" customWidth="1"/>
    <col min="5" max="5" width="15.07421875" style="8"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44" t="s">
        <v>1346</v>
      </c>
      <c r="D3" s="445"/>
      <c r="E3" s="358"/>
    </row>
    <row r="4" spans="1:5" x14ac:dyDescent="0.4">
      <c r="D4" s="5"/>
    </row>
    <row r="5" spans="1:5" x14ac:dyDescent="0.4">
      <c r="A5" s="36">
        <v>1</v>
      </c>
      <c r="B5" s="3" t="s">
        <v>3</v>
      </c>
      <c r="C5" s="458" t="s">
        <v>1347</v>
      </c>
      <c r="D5" s="458"/>
      <c r="E5" s="458"/>
    </row>
    <row r="6" spans="1:5" x14ac:dyDescent="0.4">
      <c r="A6" s="9"/>
      <c r="B6" s="480" t="s">
        <v>5</v>
      </c>
      <c r="C6" s="480"/>
      <c r="D6" s="480"/>
      <c r="E6" s="480"/>
    </row>
    <row r="7" spans="1:5" x14ac:dyDescent="0.4">
      <c r="A7" s="9"/>
      <c r="B7" s="11"/>
      <c r="D7" s="5"/>
    </row>
    <row r="8" spans="1:5" x14ac:dyDescent="0.4">
      <c r="A8" s="9">
        <v>2</v>
      </c>
      <c r="B8" s="3" t="s">
        <v>6</v>
      </c>
      <c r="C8" s="497" t="s">
        <v>1348</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1349</v>
      </c>
      <c r="D14" s="497"/>
      <c r="E14" s="497"/>
    </row>
    <row r="15" spans="1:5"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0.12559999999999999</v>
      </c>
      <c r="D18" s="367"/>
      <c r="E18" s="367"/>
      <c r="F18" s="15"/>
      <c r="G18" s="13"/>
      <c r="H18" s="13"/>
      <c r="I18" s="13"/>
      <c r="J18" s="13"/>
      <c r="K18" s="13"/>
      <c r="L18" s="13"/>
      <c r="M18" s="13"/>
      <c r="N18" s="13"/>
    </row>
    <row r="19" spans="1:14" ht="25.65" x14ac:dyDescent="0.4">
      <c r="A19" s="9"/>
      <c r="B19" s="14" t="s">
        <v>1350</v>
      </c>
      <c r="C19" s="367">
        <v>4.36E-2</v>
      </c>
      <c r="D19" s="367"/>
      <c r="E19" s="367"/>
      <c r="F19" s="15"/>
      <c r="G19" s="13"/>
      <c r="I19" s="13"/>
      <c r="J19" s="13"/>
      <c r="K19" s="13"/>
      <c r="L19" s="13"/>
      <c r="M19" s="13"/>
      <c r="N19" s="13"/>
    </row>
    <row r="20" spans="1:14" x14ac:dyDescent="0.4">
      <c r="A20" s="9"/>
      <c r="B20" s="14" t="s">
        <v>605</v>
      </c>
      <c r="C20" s="367" t="s">
        <v>319</v>
      </c>
      <c r="D20" s="354"/>
      <c r="E20" s="354"/>
      <c r="F20" s="15"/>
      <c r="G20" s="13"/>
      <c r="H20" s="13"/>
      <c r="I20" s="13"/>
      <c r="J20" s="13"/>
      <c r="K20" s="13"/>
      <c r="L20" s="13"/>
      <c r="M20" s="13"/>
      <c r="N20" s="13"/>
    </row>
    <row r="21" spans="1:14" x14ac:dyDescent="0.4">
      <c r="A21" s="9"/>
      <c r="B21" s="14" t="s">
        <v>15</v>
      </c>
      <c r="C21" s="367" t="s">
        <v>320</v>
      </c>
      <c r="D21" s="354"/>
      <c r="E21" s="354"/>
      <c r="F21" s="15"/>
      <c r="G21" s="13"/>
      <c r="H21" s="13"/>
      <c r="I21" s="13"/>
      <c r="J21" s="13"/>
      <c r="K21" s="13"/>
      <c r="L21" s="13"/>
      <c r="M21" s="13"/>
      <c r="N21" s="13"/>
    </row>
    <row r="22" spans="1:14" x14ac:dyDescent="0.4">
      <c r="A22" s="9"/>
      <c r="B22" s="14" t="s">
        <v>16</v>
      </c>
      <c r="C22" s="550" t="s">
        <v>201</v>
      </c>
      <c r="D22" s="550"/>
      <c r="E22" s="550"/>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263</v>
      </c>
      <c r="E27" s="18" t="s">
        <v>23</v>
      </c>
      <c r="F27" s="15"/>
    </row>
    <row r="28" spans="1:14" ht="12.7" customHeight="1" x14ac:dyDescent="0.4">
      <c r="A28" s="9"/>
      <c r="B28" s="19" t="s">
        <v>1272</v>
      </c>
      <c r="C28" s="540" t="s">
        <v>319</v>
      </c>
      <c r="D28" s="540" t="s">
        <v>264</v>
      </c>
      <c r="E28" s="540" t="s">
        <v>203</v>
      </c>
      <c r="F28" s="15"/>
    </row>
    <row r="29" spans="1:14" x14ac:dyDescent="0.4">
      <c r="A29" s="9"/>
      <c r="B29" s="19" t="s">
        <v>25</v>
      </c>
      <c r="C29" s="541"/>
      <c r="D29" s="541"/>
      <c r="E29" s="541"/>
      <c r="F29" s="15"/>
    </row>
    <row r="30" spans="1:14" x14ac:dyDescent="0.4">
      <c r="A30" s="9"/>
      <c r="B30" s="19" t="s">
        <v>26</v>
      </c>
      <c r="C30" s="541"/>
      <c r="D30" s="541"/>
      <c r="E30" s="541"/>
      <c r="F30" s="15"/>
    </row>
    <row r="31" spans="1:14" x14ac:dyDescent="0.4">
      <c r="A31" s="9"/>
      <c r="B31" s="19" t="s">
        <v>27</v>
      </c>
      <c r="C31" s="542"/>
      <c r="D31" s="542"/>
      <c r="E31" s="542"/>
      <c r="F31" s="15"/>
    </row>
    <row r="32" spans="1:14" x14ac:dyDescent="0.4">
      <c r="A32" s="9"/>
      <c r="B32" s="13"/>
      <c r="C32" s="15"/>
      <c r="D32" s="15"/>
      <c r="E32" s="15"/>
      <c r="F32" s="15"/>
    </row>
    <row r="33" spans="1:10" x14ac:dyDescent="0.4">
      <c r="A33" s="9">
        <v>7</v>
      </c>
      <c r="B33" s="365" t="s">
        <v>28</v>
      </c>
      <c r="C33" s="365"/>
      <c r="D33" s="365"/>
      <c r="E33" s="365"/>
      <c r="F33" s="11"/>
      <c r="G33" s="11"/>
      <c r="H33" s="11"/>
      <c r="I33" s="11"/>
      <c r="J33" s="11"/>
    </row>
    <row r="34" spans="1:10" x14ac:dyDescent="0.4">
      <c r="A34" s="9"/>
      <c r="B34" s="17" t="s">
        <v>29</v>
      </c>
      <c r="C34" s="497" t="s">
        <v>319</v>
      </c>
      <c r="D34" s="497"/>
      <c r="E34" s="497"/>
      <c r="F34" s="13"/>
    </row>
    <row r="35" spans="1:10" x14ac:dyDescent="0.4">
      <c r="A35" s="9"/>
      <c r="B35" s="17" t="s">
        <v>31</v>
      </c>
      <c r="C35" s="497" t="s">
        <v>320</v>
      </c>
      <c r="D35" s="497"/>
      <c r="E35" s="497"/>
      <c r="F35" s="13"/>
    </row>
    <row r="36" spans="1:10" x14ac:dyDescent="0.4">
      <c r="A36" s="9"/>
      <c r="B36" s="17" t="s">
        <v>32</v>
      </c>
      <c r="C36" s="497" t="s">
        <v>201</v>
      </c>
      <c r="D36" s="497"/>
      <c r="E36" s="497"/>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373" t="s">
        <v>1351</v>
      </c>
      <c r="D40" s="374"/>
      <c r="E40" s="375"/>
      <c r="F40" s="13"/>
    </row>
    <row r="41" spans="1:10" x14ac:dyDescent="0.4">
      <c r="A41" s="9"/>
      <c r="B41" s="17" t="s">
        <v>31</v>
      </c>
      <c r="C41" s="373" t="s">
        <v>1071</v>
      </c>
      <c r="D41" s="374"/>
      <c r="E41" s="375"/>
      <c r="F41" s="13"/>
    </row>
    <row r="42" spans="1:10" x14ac:dyDescent="0.4">
      <c r="A42" s="9"/>
      <c r="B42" s="17" t="s">
        <v>32</v>
      </c>
      <c r="C42" s="446" t="s">
        <v>1072</v>
      </c>
      <c r="D42" s="446"/>
      <c r="E42" s="446"/>
      <c r="F42" s="13"/>
    </row>
    <row r="43" spans="1:10" x14ac:dyDescent="0.4">
      <c r="A43" s="9"/>
      <c r="B43" s="363" t="s">
        <v>35</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51.25" x14ac:dyDescent="0.4">
      <c r="A46" s="24"/>
      <c r="B46" s="26" t="s">
        <v>37</v>
      </c>
      <c r="C46" s="27" t="s">
        <v>38</v>
      </c>
      <c r="D46" s="27" t="s">
        <v>39</v>
      </c>
      <c r="E46" s="27" t="s">
        <v>206</v>
      </c>
    </row>
    <row r="47" spans="1:10" ht="92.8" x14ac:dyDescent="0.4">
      <c r="A47" s="29"/>
      <c r="B47" s="78" t="s">
        <v>1352</v>
      </c>
      <c r="C47" s="78" t="s">
        <v>1353</v>
      </c>
      <c r="D47" s="78" t="s">
        <v>83</v>
      </c>
      <c r="E47" s="117" t="s">
        <v>83</v>
      </c>
    </row>
    <row r="48" spans="1:10" x14ac:dyDescent="0.4">
      <c r="A48" s="31" t="s">
        <v>186</v>
      </c>
      <c r="B48" s="380" t="s">
        <v>1354</v>
      </c>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383" t="s">
        <v>43</v>
      </c>
      <c r="C51" s="617" t="s">
        <v>1355</v>
      </c>
      <c r="D51" s="618"/>
      <c r="E51" s="619"/>
      <c r="K51" s="1"/>
    </row>
    <row r="52" spans="1:14" ht="70.900000000000006" customHeight="1" x14ac:dyDescent="0.4">
      <c r="A52" s="29"/>
      <c r="B52" s="384"/>
      <c r="C52" s="620"/>
      <c r="D52" s="621"/>
      <c r="E52" s="622"/>
      <c r="K52" s="1"/>
    </row>
    <row r="53" spans="1:14" ht="60.75" customHeight="1" x14ac:dyDescent="0.4">
      <c r="A53" s="24"/>
      <c r="B53" s="33" t="s">
        <v>44</v>
      </c>
      <c r="C53" s="391" t="s">
        <v>84</v>
      </c>
      <c r="D53" s="391"/>
      <c r="E53" s="391"/>
    </row>
    <row r="54" spans="1:14" x14ac:dyDescent="0.4">
      <c r="A54" s="29"/>
      <c r="B54" s="33" t="s">
        <v>45</v>
      </c>
      <c r="C54" s="471" t="s">
        <v>46</v>
      </c>
      <c r="D54" s="472"/>
      <c r="E54" s="473"/>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1037</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11"/>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446" t="s">
        <v>1356</v>
      </c>
      <c r="D61" s="446"/>
      <c r="E61" s="446"/>
      <c r="F61" s="44"/>
      <c r="G61" s="44"/>
      <c r="H61" s="15"/>
      <c r="I61" s="15"/>
      <c r="J61" s="15"/>
      <c r="K61" s="15"/>
      <c r="L61" s="15"/>
      <c r="M61" s="15"/>
      <c r="N61" s="15"/>
    </row>
    <row r="62" spans="1:14" x14ac:dyDescent="0.4">
      <c r="A62" s="9"/>
      <c r="B62" s="15"/>
      <c r="C62" s="15"/>
      <c r="D62" s="15"/>
      <c r="E62" s="15"/>
      <c r="F62" s="15"/>
      <c r="G62" s="44"/>
      <c r="H62" s="15"/>
      <c r="I62" s="15"/>
      <c r="J62" s="15"/>
      <c r="K62" s="15"/>
      <c r="L62" s="15"/>
      <c r="M62" s="15"/>
      <c r="N62" s="15"/>
    </row>
    <row r="63" spans="1:14" ht="30.05" customHeight="1" x14ac:dyDescent="0.4">
      <c r="A63" s="9"/>
      <c r="B63" s="365" t="s">
        <v>53</v>
      </c>
      <c r="C63" s="366" t="s">
        <v>1357</v>
      </c>
      <c r="D63" s="366" t="s">
        <v>1358</v>
      </c>
      <c r="E63" s="403" t="s">
        <v>1359</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109.2</v>
      </c>
      <c r="D65" s="101">
        <v>104.2</v>
      </c>
      <c r="E65" s="101">
        <v>106.25</v>
      </c>
      <c r="F65" s="101" t="s">
        <v>41</v>
      </c>
      <c r="G65" s="101" t="s">
        <v>41</v>
      </c>
      <c r="H65" s="101" t="s">
        <v>41</v>
      </c>
      <c r="I65" s="101" t="s">
        <v>41</v>
      </c>
      <c r="J65" s="101" t="s">
        <v>41</v>
      </c>
      <c r="K65" s="101" t="s">
        <v>41</v>
      </c>
      <c r="L65" s="101" t="s">
        <v>41</v>
      </c>
      <c r="M65" s="101" t="s">
        <v>41</v>
      </c>
      <c r="N65" s="101" t="s">
        <v>41</v>
      </c>
    </row>
    <row r="66" spans="1:14" ht="25.65" x14ac:dyDescent="0.4">
      <c r="A66" s="2"/>
      <c r="B66" s="17" t="s">
        <v>1360</v>
      </c>
      <c r="C66" s="54">
        <v>19497.3</v>
      </c>
      <c r="D66" s="54">
        <v>19517</v>
      </c>
      <c r="E66" s="54">
        <v>19528.75</v>
      </c>
      <c r="F66" s="101" t="s">
        <v>41</v>
      </c>
      <c r="G66" s="101" t="s">
        <v>41</v>
      </c>
      <c r="H66" s="101" t="s">
        <v>41</v>
      </c>
      <c r="I66" s="101" t="s">
        <v>41</v>
      </c>
      <c r="J66" s="101" t="s">
        <v>41</v>
      </c>
      <c r="K66" s="101" t="s">
        <v>41</v>
      </c>
      <c r="L66" s="45" t="s">
        <v>41</v>
      </c>
      <c r="M66" s="45" t="s">
        <v>41</v>
      </c>
      <c r="N66" s="45" t="s">
        <v>41</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551" t="s">
        <v>1092</v>
      </c>
      <c r="C68" s="545"/>
      <c r="D68" s="545"/>
      <c r="E68" s="545"/>
      <c r="F68" s="545"/>
      <c r="G68" s="545"/>
      <c r="H68" s="545"/>
      <c r="I68" s="545"/>
      <c r="J68" s="545"/>
      <c r="K68" s="545"/>
      <c r="L68" s="545"/>
      <c r="M68" s="545"/>
      <c r="N68" s="545"/>
    </row>
    <row r="69" spans="1:14" x14ac:dyDescent="0.4">
      <c r="A69" s="2"/>
      <c r="B69" s="480" t="s">
        <v>63</v>
      </c>
      <c r="C69" s="480"/>
      <c r="D69" s="480"/>
      <c r="E69" s="480"/>
      <c r="F69" s="480"/>
      <c r="G69" s="480"/>
      <c r="H69" s="480"/>
      <c r="I69" s="480"/>
      <c r="J69" s="480"/>
      <c r="K69" s="480"/>
      <c r="L69" s="480"/>
      <c r="M69" s="480"/>
      <c r="N69" s="480"/>
    </row>
    <row r="70" spans="1:14" s="1" customFormat="1" x14ac:dyDescent="0.4">
      <c r="B70" s="474" t="s">
        <v>64</v>
      </c>
      <c r="C70" s="474"/>
      <c r="D70" s="474"/>
      <c r="E70" s="474"/>
      <c r="F70" s="474"/>
      <c r="G70" s="474"/>
      <c r="H70" s="474"/>
      <c r="I70" s="474"/>
      <c r="J70" s="474"/>
      <c r="K70" s="474"/>
      <c r="L70" s="474"/>
      <c r="M70" s="474"/>
      <c r="N70" s="474"/>
    </row>
    <row r="71" spans="1:14" x14ac:dyDescent="0.4">
      <c r="A71" s="2"/>
      <c r="B71" s="359" t="s">
        <v>358</v>
      </c>
      <c r="C71" s="359"/>
      <c r="D71" s="359"/>
      <c r="E71" s="359"/>
      <c r="F71" s="359"/>
      <c r="G71" s="359"/>
      <c r="H71" s="359"/>
      <c r="I71" s="359"/>
      <c r="J71" s="359"/>
      <c r="K71" s="359"/>
      <c r="L71" s="359"/>
      <c r="M71" s="359"/>
      <c r="N71" s="359"/>
    </row>
    <row r="72" spans="1:14" x14ac:dyDescent="0.4">
      <c r="A72" s="2"/>
      <c r="B72" s="359" t="s">
        <v>65</v>
      </c>
      <c r="C72" s="359"/>
      <c r="D72" s="359"/>
      <c r="E72" s="359"/>
      <c r="F72" s="359"/>
      <c r="G72" s="359"/>
      <c r="H72" s="359"/>
      <c r="I72" s="359"/>
      <c r="J72" s="359"/>
      <c r="K72" s="359"/>
      <c r="L72" s="359"/>
      <c r="M72" s="359"/>
      <c r="N72" s="359"/>
    </row>
    <row r="73" spans="1:14" x14ac:dyDescent="0.4">
      <c r="A73" s="2"/>
      <c r="B73" s="49"/>
      <c r="C73" s="49"/>
      <c r="D73" s="49"/>
      <c r="E73" s="49"/>
      <c r="F73" s="49"/>
      <c r="G73" s="13"/>
      <c r="H73" s="13"/>
      <c r="I73" s="13"/>
      <c r="J73" s="13"/>
      <c r="K73" s="13"/>
      <c r="L73" s="13"/>
      <c r="M73" s="13"/>
      <c r="N73" s="13"/>
    </row>
    <row r="74" spans="1:14" ht="29.3" customHeight="1" x14ac:dyDescent="0.4">
      <c r="A74" s="9">
        <v>13</v>
      </c>
      <c r="B74" s="405" t="s">
        <v>66</v>
      </c>
      <c r="C74" s="406"/>
      <c r="D74" s="406"/>
      <c r="E74" s="406"/>
      <c r="F74" s="406"/>
      <c r="G74" s="376"/>
      <c r="H74" s="11"/>
      <c r="I74" s="11"/>
      <c r="J74" s="11"/>
      <c r="K74" s="11"/>
      <c r="L74" s="11"/>
      <c r="M74" s="11"/>
      <c r="N74" s="11"/>
    </row>
    <row r="75" spans="1:14" x14ac:dyDescent="0.4">
      <c r="A75" s="9"/>
      <c r="C75" s="15"/>
      <c r="D75" s="15"/>
      <c r="E75" s="15"/>
      <c r="F75" s="15"/>
      <c r="G75" s="15"/>
      <c r="H75" s="15"/>
      <c r="I75" s="15"/>
      <c r="J75" s="15"/>
      <c r="K75" s="15"/>
      <c r="L75" s="15"/>
      <c r="M75" s="15"/>
      <c r="N75" s="15"/>
    </row>
    <row r="76" spans="1:14" ht="25.65" x14ac:dyDescent="0.4">
      <c r="A76" s="2"/>
      <c r="B76" s="50" t="s">
        <v>67</v>
      </c>
      <c r="C76" s="18" t="s">
        <v>68</v>
      </c>
      <c r="D76" s="18" t="s">
        <v>1127</v>
      </c>
      <c r="E76" s="18" t="s">
        <v>218</v>
      </c>
      <c r="F76" s="18" t="s">
        <v>71</v>
      </c>
      <c r="G76" s="18" t="s">
        <v>107</v>
      </c>
      <c r="H76" s="13"/>
      <c r="I76" s="13"/>
      <c r="J76" s="13"/>
      <c r="K76" s="13"/>
      <c r="L76" s="13"/>
      <c r="M76" s="13"/>
      <c r="N76" s="13"/>
    </row>
    <row r="77" spans="1:14" ht="25.55" customHeight="1" x14ac:dyDescent="0.4">
      <c r="A77" s="2"/>
      <c r="B77" s="394" t="s">
        <v>1271</v>
      </c>
      <c r="C77" s="21" t="s">
        <v>1361</v>
      </c>
      <c r="D77" s="151">
        <v>0.45</v>
      </c>
      <c r="E77" s="435" t="s">
        <v>1362</v>
      </c>
      <c r="F77" s="643" t="s">
        <v>1363</v>
      </c>
      <c r="G77" s="435" t="s">
        <v>220</v>
      </c>
      <c r="H77" s="53"/>
      <c r="I77" s="53"/>
      <c r="J77" s="53"/>
      <c r="K77" s="53"/>
      <c r="L77" s="53"/>
      <c r="M77" s="53"/>
      <c r="N77" s="53"/>
    </row>
    <row r="78" spans="1:14" x14ac:dyDescent="0.4">
      <c r="A78" s="2"/>
      <c r="B78" s="394"/>
      <c r="C78" s="3" t="s">
        <v>765</v>
      </c>
      <c r="D78" s="151"/>
      <c r="E78" s="436"/>
      <c r="F78" s="644"/>
      <c r="G78" s="436"/>
      <c r="H78" s="53"/>
      <c r="I78" s="53"/>
      <c r="J78" s="53"/>
      <c r="K78" s="53"/>
      <c r="L78" s="53"/>
      <c r="M78" s="53"/>
      <c r="N78" s="53"/>
    </row>
    <row r="79" spans="1:14" x14ac:dyDescent="0.4">
      <c r="A79" s="2"/>
      <c r="B79" s="394"/>
      <c r="C79" s="21" t="s">
        <v>1364</v>
      </c>
      <c r="D79" s="151">
        <v>21.99</v>
      </c>
      <c r="E79" s="436"/>
      <c r="F79" s="644"/>
      <c r="G79" s="436"/>
      <c r="H79" s="53"/>
      <c r="I79" s="53"/>
      <c r="J79" s="53"/>
      <c r="K79" s="53"/>
      <c r="L79" s="53"/>
      <c r="M79" s="53"/>
      <c r="N79" s="53"/>
    </row>
    <row r="80" spans="1:14" x14ac:dyDescent="0.4">
      <c r="A80" s="2"/>
      <c r="B80" s="394"/>
      <c r="C80" s="21" t="s">
        <v>1365</v>
      </c>
      <c r="D80" s="151">
        <v>158.63999999999999</v>
      </c>
      <c r="E80" s="436"/>
      <c r="F80" s="644"/>
      <c r="G80" s="436"/>
      <c r="H80" s="53"/>
      <c r="I80" s="53"/>
      <c r="J80" s="53"/>
      <c r="K80" s="53"/>
      <c r="L80" s="53"/>
      <c r="M80" s="53"/>
      <c r="N80" s="53"/>
    </row>
    <row r="81" spans="1:14" x14ac:dyDescent="0.4">
      <c r="A81" s="2"/>
      <c r="B81" s="394"/>
      <c r="C81" s="21" t="s">
        <v>1366</v>
      </c>
      <c r="D81" s="151">
        <v>17.21</v>
      </c>
      <c r="E81" s="436"/>
      <c r="F81" s="644"/>
      <c r="G81" s="436"/>
      <c r="H81" s="53"/>
      <c r="I81" s="53"/>
      <c r="J81" s="53"/>
      <c r="K81" s="53"/>
      <c r="L81" s="53"/>
      <c r="M81" s="53"/>
      <c r="N81" s="53"/>
    </row>
    <row r="82" spans="1:14" x14ac:dyDescent="0.4">
      <c r="A82" s="2"/>
      <c r="B82" s="394"/>
      <c r="C82" s="21" t="s">
        <v>1367</v>
      </c>
      <c r="D82" s="151">
        <v>9.02</v>
      </c>
      <c r="E82" s="436"/>
      <c r="F82" s="644"/>
      <c r="G82" s="436"/>
      <c r="H82" s="53"/>
      <c r="I82" s="53"/>
      <c r="J82" s="53"/>
      <c r="K82" s="53"/>
      <c r="L82" s="53"/>
      <c r="M82" s="53"/>
      <c r="N82" s="53"/>
    </row>
    <row r="83" spans="1:14" x14ac:dyDescent="0.4">
      <c r="A83" s="2"/>
      <c r="B83" s="394"/>
      <c r="C83" s="3" t="s">
        <v>74</v>
      </c>
      <c r="D83" s="276">
        <v>51.72</v>
      </c>
      <c r="E83" s="436"/>
      <c r="F83" s="644"/>
      <c r="G83" s="436"/>
      <c r="H83" s="53"/>
      <c r="I83" s="53"/>
      <c r="J83" s="53"/>
      <c r="K83" s="53"/>
      <c r="L83" s="53"/>
      <c r="M83" s="53"/>
      <c r="N83" s="53"/>
    </row>
    <row r="84" spans="1:14" x14ac:dyDescent="0.4">
      <c r="A84" s="2"/>
      <c r="B84" s="394" t="s">
        <v>75</v>
      </c>
      <c r="C84" s="21" t="s">
        <v>1368</v>
      </c>
      <c r="D84" s="154">
        <v>193.33</v>
      </c>
      <c r="E84" s="436"/>
      <c r="F84" s="644"/>
      <c r="G84" s="436"/>
      <c r="H84" s="53"/>
      <c r="I84" s="53"/>
      <c r="J84" s="53"/>
      <c r="K84" s="53"/>
      <c r="L84" s="53"/>
      <c r="M84" s="53"/>
      <c r="N84" s="53"/>
    </row>
    <row r="85" spans="1:14" x14ac:dyDescent="0.4">
      <c r="A85" s="2"/>
      <c r="B85" s="394"/>
      <c r="C85" s="3" t="s">
        <v>73</v>
      </c>
      <c r="D85" s="151"/>
      <c r="E85" s="436"/>
      <c r="F85" s="644"/>
      <c r="G85" s="436"/>
      <c r="H85" s="53"/>
      <c r="I85" s="53"/>
      <c r="J85" s="53"/>
      <c r="K85" s="53"/>
      <c r="L85" s="53"/>
      <c r="M85" s="53"/>
      <c r="N85" s="53"/>
    </row>
    <row r="86" spans="1:14" x14ac:dyDescent="0.4">
      <c r="A86" s="2"/>
      <c r="B86" s="394"/>
      <c r="C86" s="21" t="s">
        <v>1364</v>
      </c>
      <c r="D86" s="151">
        <v>32.75</v>
      </c>
      <c r="E86" s="436"/>
      <c r="F86" s="644"/>
      <c r="G86" s="436"/>
      <c r="H86" s="53"/>
      <c r="I86" s="53"/>
      <c r="J86" s="53"/>
      <c r="K86" s="53"/>
      <c r="L86" s="53"/>
      <c r="M86" s="53"/>
      <c r="N86" s="53"/>
    </row>
    <row r="87" spans="1:14" x14ac:dyDescent="0.4">
      <c r="A87" s="2"/>
      <c r="B87" s="394"/>
      <c r="C87" s="21" t="s">
        <v>1365</v>
      </c>
      <c r="D87" s="151">
        <v>40.03</v>
      </c>
      <c r="E87" s="436"/>
      <c r="F87" s="644"/>
      <c r="G87" s="436"/>
      <c r="H87" s="53"/>
      <c r="I87" s="53"/>
      <c r="J87" s="53"/>
      <c r="K87" s="53"/>
      <c r="L87" s="53"/>
      <c r="M87" s="53"/>
      <c r="N87" s="53"/>
    </row>
    <row r="88" spans="1:14" x14ac:dyDescent="0.4">
      <c r="A88" s="2"/>
      <c r="B88" s="394"/>
      <c r="C88" s="21" t="s">
        <v>1366</v>
      </c>
      <c r="D88" s="151">
        <v>25.1</v>
      </c>
      <c r="E88" s="436"/>
      <c r="F88" s="644"/>
      <c r="G88" s="436"/>
      <c r="H88" s="53"/>
      <c r="I88" s="53"/>
      <c r="J88" s="53"/>
      <c r="K88" s="53"/>
      <c r="L88" s="53"/>
      <c r="M88" s="53"/>
      <c r="N88" s="53"/>
    </row>
    <row r="89" spans="1:14" x14ac:dyDescent="0.4">
      <c r="A89" s="2"/>
      <c r="B89" s="394"/>
      <c r="C89" s="21" t="s">
        <v>1367</v>
      </c>
      <c r="D89" s="151">
        <v>128.54</v>
      </c>
      <c r="E89" s="436"/>
      <c r="F89" s="644"/>
      <c r="G89" s="436"/>
      <c r="H89" s="53"/>
      <c r="I89" s="53"/>
      <c r="J89" s="53"/>
      <c r="K89" s="53"/>
      <c r="L89" s="53"/>
      <c r="M89" s="53"/>
      <c r="N89" s="53"/>
    </row>
    <row r="90" spans="1:14" x14ac:dyDescent="0.4">
      <c r="A90" s="2"/>
      <c r="B90" s="394"/>
      <c r="C90" s="3" t="s">
        <v>74</v>
      </c>
      <c r="D90" s="276">
        <v>56.61</v>
      </c>
      <c r="E90" s="436"/>
      <c r="F90" s="644"/>
      <c r="G90" s="436"/>
      <c r="H90" s="53"/>
      <c r="I90" s="53"/>
      <c r="J90" s="53"/>
      <c r="K90" s="53"/>
      <c r="L90" s="53"/>
      <c r="M90" s="53"/>
      <c r="N90" s="53"/>
    </row>
    <row r="91" spans="1:14" x14ac:dyDescent="0.4">
      <c r="A91" s="2"/>
      <c r="B91" s="394" t="s">
        <v>76</v>
      </c>
      <c r="C91" s="3" t="s">
        <v>1369</v>
      </c>
      <c r="D91" s="151">
        <v>1.48</v>
      </c>
      <c r="E91" s="436"/>
      <c r="F91" s="644"/>
      <c r="G91" s="436"/>
      <c r="H91" s="53"/>
      <c r="I91" s="53"/>
      <c r="J91" s="53"/>
      <c r="K91" s="53"/>
      <c r="L91" s="53"/>
      <c r="M91" s="53"/>
      <c r="N91" s="53"/>
    </row>
    <row r="92" spans="1:14" x14ac:dyDescent="0.4">
      <c r="A92" s="2"/>
      <c r="B92" s="394"/>
      <c r="C92" s="3" t="s">
        <v>73</v>
      </c>
      <c r="D92" s="151"/>
      <c r="E92" s="436"/>
      <c r="F92" s="644"/>
      <c r="G92" s="436"/>
      <c r="H92" s="53"/>
      <c r="I92" s="53"/>
      <c r="J92" s="53"/>
      <c r="K92" s="53"/>
      <c r="L92" s="53"/>
      <c r="M92" s="53"/>
      <c r="N92" s="53"/>
    </row>
    <row r="93" spans="1:14" x14ac:dyDescent="0.4">
      <c r="A93" s="2"/>
      <c r="B93" s="394"/>
      <c r="C93" s="21" t="s">
        <v>1364</v>
      </c>
      <c r="D93" s="151">
        <v>18.89</v>
      </c>
      <c r="E93" s="436"/>
      <c r="F93" s="644"/>
      <c r="G93" s="436"/>
      <c r="H93" s="53"/>
      <c r="I93" s="53"/>
      <c r="J93" s="53"/>
      <c r="K93" s="53"/>
      <c r="L93" s="53"/>
      <c r="M93" s="53"/>
      <c r="N93" s="53"/>
    </row>
    <row r="94" spans="1:14" x14ac:dyDescent="0.4">
      <c r="A94" s="2"/>
      <c r="B94" s="394"/>
      <c r="C94" s="21" t="s">
        <v>1365</v>
      </c>
      <c r="D94" s="151">
        <v>43</v>
      </c>
      <c r="E94" s="436"/>
      <c r="F94" s="644"/>
      <c r="G94" s="436"/>
      <c r="H94" s="53"/>
      <c r="I94" s="53"/>
      <c r="J94" s="53"/>
      <c r="K94" s="53"/>
      <c r="L94" s="53"/>
      <c r="M94" s="53"/>
      <c r="N94" s="53"/>
    </row>
    <row r="95" spans="1:14" x14ac:dyDescent="0.4">
      <c r="A95" s="2"/>
      <c r="B95" s="394"/>
      <c r="C95" s="21" t="s">
        <v>1366</v>
      </c>
      <c r="D95" s="151">
        <v>16.86</v>
      </c>
      <c r="E95" s="436"/>
      <c r="F95" s="644"/>
      <c r="G95" s="436"/>
      <c r="H95" s="53"/>
      <c r="I95" s="53"/>
      <c r="J95" s="53"/>
      <c r="K95" s="53"/>
      <c r="L95" s="53"/>
      <c r="M95" s="53"/>
      <c r="N95" s="53"/>
    </row>
    <row r="96" spans="1:14" x14ac:dyDescent="0.4">
      <c r="A96" s="2"/>
      <c r="B96" s="394"/>
      <c r="C96" s="21" t="s">
        <v>1367</v>
      </c>
      <c r="D96" s="151">
        <v>7.03</v>
      </c>
      <c r="E96" s="436"/>
      <c r="F96" s="644"/>
      <c r="G96" s="436"/>
      <c r="H96" s="53"/>
      <c r="I96" s="53"/>
      <c r="J96" s="53"/>
      <c r="K96" s="53"/>
      <c r="L96" s="53"/>
      <c r="M96" s="53"/>
      <c r="N96" s="53"/>
    </row>
    <row r="97" spans="1:14" x14ac:dyDescent="0.4">
      <c r="A97" s="2"/>
      <c r="B97" s="394"/>
      <c r="C97" s="3" t="s">
        <v>74</v>
      </c>
      <c r="D97" s="276">
        <v>21.45</v>
      </c>
      <c r="E97" s="436"/>
      <c r="F97" s="644"/>
      <c r="G97" s="436"/>
      <c r="H97" s="53"/>
      <c r="I97" s="53"/>
      <c r="J97" s="53"/>
      <c r="K97" s="53"/>
      <c r="L97" s="53"/>
      <c r="M97" s="53"/>
      <c r="N97" s="53"/>
    </row>
    <row r="98" spans="1:14" x14ac:dyDescent="0.4">
      <c r="A98" s="2"/>
      <c r="B98" s="394" t="s">
        <v>77</v>
      </c>
      <c r="C98" s="3" t="s">
        <v>1369</v>
      </c>
      <c r="D98" s="151">
        <v>30.22</v>
      </c>
      <c r="E98" s="436"/>
      <c r="F98" s="644"/>
      <c r="G98" s="436"/>
      <c r="H98" s="53"/>
      <c r="I98" s="53"/>
      <c r="J98" s="53"/>
      <c r="K98" s="53"/>
      <c r="L98" s="53"/>
      <c r="M98" s="53"/>
      <c r="N98" s="53"/>
    </row>
    <row r="99" spans="1:14" x14ac:dyDescent="0.4">
      <c r="A99" s="2"/>
      <c r="B99" s="394"/>
      <c r="C99" s="3" t="s">
        <v>73</v>
      </c>
      <c r="D99" s="151"/>
      <c r="E99" s="436"/>
      <c r="F99" s="644"/>
      <c r="G99" s="436"/>
      <c r="H99" s="53"/>
      <c r="I99" s="53"/>
      <c r="J99" s="53"/>
      <c r="K99" s="53"/>
      <c r="L99" s="53"/>
      <c r="M99" s="53"/>
      <c r="N99" s="53"/>
    </row>
    <row r="100" spans="1:14" x14ac:dyDescent="0.4">
      <c r="A100" s="2"/>
      <c r="B100" s="411"/>
      <c r="C100" s="21" t="s">
        <v>1364</v>
      </c>
      <c r="D100" s="151">
        <v>124.79</v>
      </c>
      <c r="E100" s="436"/>
      <c r="F100" s="644"/>
      <c r="G100" s="436"/>
      <c r="H100" s="53"/>
      <c r="I100" s="53"/>
      <c r="J100" s="53"/>
      <c r="K100" s="53"/>
      <c r="L100" s="53"/>
      <c r="M100" s="53"/>
      <c r="N100" s="53"/>
    </row>
    <row r="101" spans="1:14" x14ac:dyDescent="0.4">
      <c r="A101" s="2"/>
      <c r="B101" s="411"/>
      <c r="C101" s="21" t="s">
        <v>1365</v>
      </c>
      <c r="D101" s="151">
        <v>403.21</v>
      </c>
      <c r="E101" s="436"/>
      <c r="F101" s="644"/>
      <c r="G101" s="436"/>
      <c r="H101" s="53"/>
      <c r="I101" s="53"/>
      <c r="J101" s="53"/>
      <c r="K101" s="53"/>
      <c r="L101" s="53"/>
      <c r="M101" s="53"/>
      <c r="N101" s="53"/>
    </row>
    <row r="102" spans="1:14" x14ac:dyDescent="0.4">
      <c r="A102" s="2"/>
      <c r="B102" s="411"/>
      <c r="C102" s="21" t="s">
        <v>1366</v>
      </c>
      <c r="D102" s="151">
        <v>110.75</v>
      </c>
      <c r="E102" s="436"/>
      <c r="F102" s="644"/>
      <c r="G102" s="436"/>
      <c r="H102" s="53"/>
      <c r="I102" s="53"/>
      <c r="J102" s="53"/>
      <c r="K102" s="53"/>
      <c r="L102" s="53"/>
      <c r="M102" s="53"/>
      <c r="N102" s="53"/>
    </row>
    <row r="103" spans="1:14" x14ac:dyDescent="0.4">
      <c r="A103" s="2"/>
      <c r="B103" s="411"/>
      <c r="C103" s="21" t="s">
        <v>1367</v>
      </c>
      <c r="D103" s="151">
        <v>131.44</v>
      </c>
      <c r="E103" s="436"/>
      <c r="F103" s="644"/>
      <c r="G103" s="436"/>
      <c r="H103" s="53"/>
      <c r="I103" s="53"/>
      <c r="J103" s="53"/>
      <c r="K103" s="53"/>
      <c r="L103" s="53"/>
      <c r="M103" s="53"/>
      <c r="N103" s="53"/>
    </row>
    <row r="104" spans="1:14" x14ac:dyDescent="0.4">
      <c r="A104" s="2"/>
      <c r="B104" s="411"/>
      <c r="C104" s="3" t="s">
        <v>74</v>
      </c>
      <c r="D104" s="153">
        <v>192.55</v>
      </c>
      <c r="E104" s="547"/>
      <c r="F104" s="645"/>
      <c r="G104" s="436"/>
      <c r="H104" s="53"/>
      <c r="I104" s="53"/>
      <c r="J104" s="53"/>
      <c r="K104" s="53"/>
      <c r="L104" s="53"/>
      <c r="M104" s="53"/>
      <c r="N104" s="53"/>
    </row>
    <row r="105" spans="1:14" s="1" customFormat="1" x14ac:dyDescent="0.4">
      <c r="B105" s="412"/>
      <c r="C105" s="413"/>
      <c r="D105" s="413"/>
      <c r="E105" s="413"/>
      <c r="F105" s="413"/>
      <c r="G105" s="414"/>
    </row>
    <row r="106" spans="1:14" x14ac:dyDescent="0.4">
      <c r="A106" s="2"/>
      <c r="B106" s="415" t="s">
        <v>1370</v>
      </c>
      <c r="C106" s="416"/>
      <c r="D106" s="416"/>
      <c r="E106" s="416"/>
      <c r="F106" s="416"/>
      <c r="G106" s="417"/>
      <c r="H106" s="53"/>
      <c r="I106" s="53"/>
      <c r="J106" s="53"/>
      <c r="K106" s="53"/>
      <c r="L106" s="53"/>
      <c r="M106" s="53"/>
      <c r="N106" s="53"/>
    </row>
    <row r="107" spans="1:14" x14ac:dyDescent="0.4">
      <c r="A107" s="2"/>
      <c r="B107" s="418" t="s">
        <v>85</v>
      </c>
      <c r="C107" s="419"/>
      <c r="D107" s="419"/>
      <c r="E107" s="419"/>
      <c r="F107" s="419"/>
      <c r="G107" s="420"/>
      <c r="H107" s="53"/>
      <c r="I107" s="53"/>
      <c r="J107" s="53"/>
      <c r="K107" s="53"/>
      <c r="L107" s="53"/>
      <c r="M107" s="53"/>
      <c r="N107" s="53"/>
    </row>
    <row r="108" spans="1:14" x14ac:dyDescent="0.4">
      <c r="A108" s="2"/>
      <c r="B108" s="363"/>
      <c r="C108" s="368"/>
      <c r="D108" s="368"/>
      <c r="E108" s="368"/>
      <c r="F108" s="368"/>
      <c r="G108" s="369"/>
      <c r="H108" s="53"/>
      <c r="I108" s="53"/>
      <c r="J108" s="53"/>
      <c r="K108" s="53"/>
      <c r="L108" s="53"/>
      <c r="M108" s="53"/>
      <c r="N108" s="53"/>
    </row>
    <row r="109" spans="1:14" x14ac:dyDescent="0.4">
      <c r="C109" s="407"/>
      <c r="D109" s="407"/>
      <c r="E109" s="407"/>
      <c r="F109" s="407"/>
      <c r="G109" s="407"/>
      <c r="H109" s="53"/>
      <c r="I109" s="53"/>
    </row>
    <row r="110" spans="1:14" x14ac:dyDescent="0.4">
      <c r="A110" s="9">
        <v>14</v>
      </c>
      <c r="B110" s="61" t="s">
        <v>78</v>
      </c>
      <c r="C110" s="458" t="s">
        <v>41</v>
      </c>
      <c r="D110" s="458"/>
      <c r="E110" s="458"/>
      <c r="F110" s="458"/>
      <c r="G110" s="458"/>
    </row>
    <row r="111" spans="1:14" x14ac:dyDescent="0.4">
      <c r="A111" s="23"/>
      <c r="B111" s="448"/>
      <c r="C111" s="449"/>
      <c r="D111" s="449"/>
      <c r="E111" s="449"/>
      <c r="F111" s="449"/>
      <c r="G111" s="450"/>
    </row>
    <row r="114" spans="2:8" x14ac:dyDescent="0.4">
      <c r="B114" s="548" t="s">
        <v>1371</v>
      </c>
      <c r="C114" s="549"/>
      <c r="D114" s="549"/>
      <c r="E114" s="549"/>
      <c r="F114" s="549"/>
      <c r="G114" s="549"/>
      <c r="H114" s="295"/>
    </row>
    <row r="116" spans="2:8" x14ac:dyDescent="0.4">
      <c r="B116" s="539"/>
      <c r="C116" s="539"/>
      <c r="D116" s="539"/>
      <c r="E116" s="539"/>
      <c r="F116" s="539"/>
      <c r="G116" s="539"/>
    </row>
    <row r="118" spans="2:8" x14ac:dyDescent="0.4">
      <c r="C118" s="230"/>
      <c r="D118" s="230"/>
    </row>
    <row r="119" spans="2:8" x14ac:dyDescent="0.4">
      <c r="D119" s="107"/>
      <c r="E119" s="107"/>
    </row>
    <row r="120" spans="2:8" x14ac:dyDescent="0.4">
      <c r="C120" s="230"/>
      <c r="D120" s="230"/>
      <c r="E120" s="107"/>
    </row>
  </sheetData>
  <sheetProtection algorithmName="SHA-512" hashValue="6YXrGdxVP8DtjBOr6rHJxNm+LBupKY4+MX/ozGnRb396SrRkGDGywhwAyz4wf5c+C7/GZyvjsIuwzMSXmUd7HQ==" saltValue="iImH76+vRiUMwm1bbvUf+A==" spinCount="100000" sheet="1" objects="1" scenarios="1"/>
  <mergeCells count="70">
    <mergeCell ref="C18:E18"/>
    <mergeCell ref="A1:B1"/>
    <mergeCell ref="C3:E3"/>
    <mergeCell ref="C5:E5"/>
    <mergeCell ref="B6:E6"/>
    <mergeCell ref="C8:E8"/>
    <mergeCell ref="B9:E9"/>
    <mergeCell ref="C11:E11"/>
    <mergeCell ref="B12:E12"/>
    <mergeCell ref="C14:E14"/>
    <mergeCell ref="B15:E15"/>
    <mergeCell ref="B17:E17"/>
    <mergeCell ref="C35:E35"/>
    <mergeCell ref="C19:E19"/>
    <mergeCell ref="C20:E20"/>
    <mergeCell ref="C21:E21"/>
    <mergeCell ref="C22:E22"/>
    <mergeCell ref="B25:E25"/>
    <mergeCell ref="B26:E26"/>
    <mergeCell ref="C28:C31"/>
    <mergeCell ref="D28:D31"/>
    <mergeCell ref="E28:E31"/>
    <mergeCell ref="B33:E33"/>
    <mergeCell ref="C34:E34"/>
    <mergeCell ref="C53:E53"/>
    <mergeCell ref="C36:E36"/>
    <mergeCell ref="B39:E39"/>
    <mergeCell ref="C40:E40"/>
    <mergeCell ref="C41:E41"/>
    <mergeCell ref="C42:E42"/>
    <mergeCell ref="B43:E43"/>
    <mergeCell ref="B45:E45"/>
    <mergeCell ref="B48:E48"/>
    <mergeCell ref="B50:E50"/>
    <mergeCell ref="B51:B52"/>
    <mergeCell ref="C51:E52"/>
    <mergeCell ref="B69:N69"/>
    <mergeCell ref="C54:E54"/>
    <mergeCell ref="B55:E55"/>
    <mergeCell ref="C57:E57"/>
    <mergeCell ref="C61:E61"/>
    <mergeCell ref="B63:B64"/>
    <mergeCell ref="C63:C64"/>
    <mergeCell ref="D63:D64"/>
    <mergeCell ref="E63:E64"/>
    <mergeCell ref="F63:H63"/>
    <mergeCell ref="I63:K63"/>
    <mergeCell ref="L63:N63"/>
    <mergeCell ref="C67:N67"/>
    <mergeCell ref="B68:N68"/>
    <mergeCell ref="B70:N70"/>
    <mergeCell ref="B71:N71"/>
    <mergeCell ref="B72:N72"/>
    <mergeCell ref="B74:G74"/>
    <mergeCell ref="B77:B83"/>
    <mergeCell ref="E77:E104"/>
    <mergeCell ref="F77:F104"/>
    <mergeCell ref="G77:G104"/>
    <mergeCell ref="B84:B90"/>
    <mergeCell ref="B91:B97"/>
    <mergeCell ref="C110:G110"/>
    <mergeCell ref="B111:G111"/>
    <mergeCell ref="B114:G114"/>
    <mergeCell ref="B116:G116"/>
    <mergeCell ref="B98:B104"/>
    <mergeCell ref="B105:G105"/>
    <mergeCell ref="B106:G106"/>
    <mergeCell ref="B107:G107"/>
    <mergeCell ref="B108:G108"/>
    <mergeCell ref="C109:G109"/>
  </mergeCells>
  <pageMargins left="0.7" right="0.7" top="0.75" bottom="0.75" header="0.3" footer="0.3"/>
  <pageSetup paperSize="8" scale="75" orientation="landscape" verticalDpi="0"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N102"/>
  <sheetViews>
    <sheetView view="pageBreakPreview" topLeftCell="A33" zoomScale="60" zoomScaleNormal="100" workbookViewId="0">
      <selection activeCell="B61" sqref="B61:E61"/>
    </sheetView>
  </sheetViews>
  <sheetFormatPr defaultColWidth="9.07421875" defaultRowHeight="14.6" x14ac:dyDescent="0.4"/>
  <cols>
    <col min="1" max="1" width="6.4609375" bestFit="1" customWidth="1"/>
    <col min="2" max="2" width="49.53515625" customWidth="1"/>
    <col min="3" max="3" width="19.53515625" customWidth="1"/>
    <col min="4" max="4" width="18.07421875" customWidth="1"/>
    <col min="5" max="5" width="18.69140625" customWidth="1"/>
    <col min="6" max="6" width="9.3046875" bestFit="1" customWidth="1"/>
    <col min="8" max="8" width="10" bestFit="1" customWidth="1"/>
    <col min="9" max="9" width="10.074218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1478</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1479</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267.35000000000002</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605">
        <v>8.5505999999999993</v>
      </c>
      <c r="D18" s="606"/>
      <c r="E18" s="607"/>
      <c r="F18" s="15"/>
      <c r="G18" s="13"/>
      <c r="H18" s="13"/>
      <c r="I18" s="13"/>
      <c r="J18" s="13"/>
      <c r="K18" s="13"/>
      <c r="L18" s="13"/>
      <c r="M18" s="13"/>
      <c r="N18" s="13"/>
    </row>
    <row r="19" spans="1:14" ht="42" customHeight="1" x14ac:dyDescent="0.4">
      <c r="A19" s="9"/>
      <c r="B19" s="14" t="s">
        <v>1480</v>
      </c>
      <c r="C19" s="605">
        <v>2.83</v>
      </c>
      <c r="D19" s="606"/>
      <c r="E19" s="607"/>
      <c r="F19" s="15"/>
      <c r="G19" s="13" t="s">
        <v>693</v>
      </c>
      <c r="H19" s="8"/>
      <c r="I19" s="13"/>
      <c r="J19" s="13"/>
      <c r="K19" s="13"/>
      <c r="L19" s="13"/>
      <c r="M19" s="13"/>
      <c r="N19" s="13"/>
    </row>
    <row r="20" spans="1:14" x14ac:dyDescent="0.4">
      <c r="A20" s="9"/>
      <c r="B20" s="14" t="s">
        <v>605</v>
      </c>
      <c r="C20" s="446" t="s">
        <v>319</v>
      </c>
      <c r="D20" s="446"/>
      <c r="E20" s="446"/>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c r="B38" s="15"/>
      <c r="C38" s="13"/>
      <c r="D38" s="169"/>
      <c r="E38" s="13"/>
      <c r="F38" s="13"/>
      <c r="G38" s="8"/>
      <c r="H38" s="8"/>
      <c r="I38" s="8"/>
      <c r="J38" s="8"/>
      <c r="K38" s="8"/>
      <c r="L38" s="8"/>
      <c r="M38" s="8"/>
      <c r="N38" s="8"/>
    </row>
    <row r="39" spans="1:14" x14ac:dyDescent="0.4">
      <c r="A39" s="9">
        <v>8</v>
      </c>
      <c r="B39" s="365" t="s">
        <v>1084</v>
      </c>
      <c r="C39" s="365"/>
      <c r="D39" s="365"/>
      <c r="E39" s="365"/>
      <c r="F39" s="11"/>
      <c r="G39" s="11"/>
      <c r="H39" s="11"/>
      <c r="I39" s="11"/>
      <c r="J39" s="11"/>
      <c r="K39" s="8"/>
      <c r="L39" s="8"/>
      <c r="M39" s="8"/>
      <c r="N39" s="8"/>
    </row>
    <row r="40" spans="1:14" ht="15.05" customHeight="1" x14ac:dyDescent="0.4">
      <c r="A40" s="9"/>
      <c r="B40" s="17" t="s">
        <v>34</v>
      </c>
      <c r="C40" s="373" t="s">
        <v>319</v>
      </c>
      <c r="D40" s="374"/>
      <c r="E40" s="375"/>
      <c r="F40" s="13"/>
      <c r="G40" s="8"/>
      <c r="H40" s="8"/>
      <c r="I40" s="8"/>
      <c r="J40" s="8"/>
      <c r="K40" s="8"/>
      <c r="L40" s="8"/>
      <c r="M40" s="8"/>
      <c r="N40" s="8"/>
    </row>
    <row r="41" spans="1:14" x14ac:dyDescent="0.4">
      <c r="A41" s="9"/>
      <c r="B41" s="17" t="s">
        <v>31</v>
      </c>
      <c r="C41" s="373" t="s">
        <v>320</v>
      </c>
      <c r="D41" s="374"/>
      <c r="E41" s="375"/>
      <c r="F41" s="13"/>
      <c r="G41" s="8"/>
      <c r="H41" s="8"/>
      <c r="I41" s="8"/>
      <c r="J41" s="8"/>
      <c r="K41" s="8"/>
      <c r="L41" s="8"/>
      <c r="M41" s="8"/>
      <c r="N41" s="8"/>
    </row>
    <row r="42" spans="1:14" x14ac:dyDescent="0.4">
      <c r="A42" s="9"/>
      <c r="B42" s="17" t="s">
        <v>32</v>
      </c>
      <c r="C42" s="446" t="s">
        <v>201</v>
      </c>
      <c r="D42" s="446"/>
      <c r="E42" s="446"/>
      <c r="F42" s="13"/>
      <c r="G42" s="8"/>
      <c r="H42" s="8"/>
      <c r="I42" s="8"/>
      <c r="J42" s="8"/>
      <c r="K42" s="8"/>
      <c r="L42" s="8"/>
      <c r="M42" s="8"/>
      <c r="N42" s="8"/>
    </row>
    <row r="43" spans="1:14" x14ac:dyDescent="0.4">
      <c r="A43" s="9"/>
      <c r="B43" s="363" t="s">
        <v>848</v>
      </c>
      <c r="C43" s="368"/>
      <c r="D43" s="368"/>
      <c r="E43" s="369"/>
      <c r="F43" s="13"/>
      <c r="G43" s="8"/>
      <c r="H43" s="8"/>
      <c r="I43" s="8"/>
      <c r="J43" s="8"/>
      <c r="K43" s="8"/>
      <c r="L43" s="8"/>
      <c r="M43" s="8"/>
      <c r="N43" s="8"/>
    </row>
    <row r="44" spans="1:14" x14ac:dyDescent="0.4">
      <c r="A44" s="2"/>
      <c r="B44" s="8"/>
      <c r="C44" s="8"/>
      <c r="D44" s="173"/>
      <c r="E44" s="13"/>
      <c r="F44" s="8"/>
      <c r="G44" s="8"/>
      <c r="H44" s="8"/>
      <c r="I44" s="8"/>
      <c r="J44" s="8"/>
      <c r="K44" s="8"/>
      <c r="L44" s="8"/>
      <c r="M44" s="8"/>
      <c r="N44" s="8"/>
    </row>
    <row r="45" spans="1:14" x14ac:dyDescent="0.4">
      <c r="A45" s="24">
        <v>9</v>
      </c>
      <c r="B45" s="376" t="s">
        <v>1085</v>
      </c>
      <c r="C45" s="365"/>
      <c r="D45" s="365"/>
      <c r="E45" s="365"/>
      <c r="F45" s="25"/>
      <c r="G45" s="11"/>
      <c r="H45" s="11"/>
      <c r="I45" s="11"/>
      <c r="J45" s="8"/>
      <c r="K45" s="8"/>
      <c r="L45" s="8"/>
      <c r="M45" s="8"/>
      <c r="N45" s="8"/>
    </row>
    <row r="46" spans="1:14" ht="38.450000000000003" x14ac:dyDescent="0.4">
      <c r="A46" s="24"/>
      <c r="B46" s="26" t="s">
        <v>37</v>
      </c>
      <c r="C46" s="27" t="s">
        <v>38</v>
      </c>
      <c r="D46" s="174" t="s">
        <v>168</v>
      </c>
      <c r="E46" s="27" t="s">
        <v>206</v>
      </c>
      <c r="F46" s="8"/>
      <c r="G46" s="8"/>
      <c r="H46" s="8"/>
      <c r="I46" s="8"/>
      <c r="J46" s="8"/>
      <c r="K46" s="8"/>
      <c r="L46" s="8"/>
      <c r="M46" s="8"/>
      <c r="N46" s="8"/>
    </row>
    <row r="47" spans="1:14" ht="225.3" x14ac:dyDescent="0.4">
      <c r="A47" s="29"/>
      <c r="B47" s="78" t="s">
        <v>1482</v>
      </c>
      <c r="C47" s="216" t="s">
        <v>1483</v>
      </c>
      <c r="D47" s="216" t="s">
        <v>1483</v>
      </c>
      <c r="E47" s="117" t="s">
        <v>83</v>
      </c>
      <c r="F47" s="8"/>
      <c r="G47" s="8"/>
      <c r="H47" s="8"/>
      <c r="I47" s="8"/>
      <c r="J47" s="8"/>
      <c r="K47" s="8"/>
      <c r="L47" s="8"/>
      <c r="M47" s="8"/>
      <c r="N47" s="8"/>
    </row>
    <row r="48" spans="1:14" x14ac:dyDescent="0.4">
      <c r="A48" s="31"/>
      <c r="B48" s="380"/>
      <c r="C48" s="381"/>
      <c r="D48" s="381"/>
      <c r="E48" s="382"/>
      <c r="F48" s="15"/>
      <c r="G48" s="15"/>
      <c r="H48" s="15"/>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21.75" customHeight="1" x14ac:dyDescent="0.4">
      <c r="A51" s="29"/>
      <c r="B51" s="383" t="s">
        <v>43</v>
      </c>
      <c r="C51" s="581" t="s">
        <v>1484</v>
      </c>
      <c r="D51" s="582"/>
      <c r="E51" s="583"/>
      <c r="F51" s="8"/>
      <c r="G51" s="8"/>
      <c r="H51" s="8"/>
      <c r="I51" s="8"/>
      <c r="J51" s="8"/>
      <c r="K51" s="1"/>
      <c r="L51" s="8"/>
      <c r="M51" s="8"/>
      <c r="N51" s="8"/>
    </row>
    <row r="52" spans="1:14" ht="83.3" customHeight="1" x14ac:dyDescent="0.4">
      <c r="A52" s="29"/>
      <c r="B52" s="384"/>
      <c r="C52" s="584"/>
      <c r="D52" s="585"/>
      <c r="E52" s="586"/>
      <c r="F52" s="8"/>
      <c r="G52" s="8"/>
      <c r="H52" s="8"/>
      <c r="I52" s="8"/>
      <c r="J52" s="8"/>
      <c r="K52" s="1"/>
      <c r="L52" s="8"/>
      <c r="M52" s="8"/>
      <c r="N52" s="8"/>
    </row>
    <row r="53" spans="1:14" ht="104.35" customHeight="1" x14ac:dyDescent="0.4">
      <c r="A53" s="24"/>
      <c r="B53" s="33" t="s">
        <v>44</v>
      </c>
      <c r="C53" s="391" t="s">
        <v>1484</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x14ac:dyDescent="0.4">
      <c r="A55" s="29"/>
      <c r="B55" s="480"/>
      <c r="C55" s="480"/>
      <c r="D55" s="480"/>
      <c r="E55" s="480"/>
      <c r="F55" s="8"/>
      <c r="G55" s="8"/>
      <c r="H55" s="8"/>
      <c r="I55" s="8"/>
      <c r="J55" s="8"/>
      <c r="K55" s="34"/>
      <c r="L55" s="8"/>
      <c r="M55" s="8"/>
      <c r="N55" s="8"/>
    </row>
    <row r="56" spans="1:14" x14ac:dyDescent="0.4">
      <c r="A56" s="35" t="s">
        <v>47</v>
      </c>
      <c r="B56" s="392" t="s">
        <v>48</v>
      </c>
      <c r="C56" s="392"/>
      <c r="D56" s="392"/>
      <c r="E56" s="392"/>
      <c r="F56" s="63"/>
      <c r="G56" s="63"/>
      <c r="H56" s="63"/>
      <c r="I56" s="63"/>
      <c r="J56" s="63"/>
      <c r="K56" s="63"/>
      <c r="L56" s="63"/>
      <c r="M56" s="63"/>
      <c r="N56" s="63"/>
    </row>
    <row r="57" spans="1:14" x14ac:dyDescent="0.4">
      <c r="A57" s="40"/>
      <c r="B57" s="41"/>
      <c r="C57" s="42"/>
      <c r="D57" s="175"/>
      <c r="E57" s="42"/>
      <c r="F57" s="42"/>
      <c r="G57" s="8"/>
      <c r="H57" s="8"/>
      <c r="I57" s="8"/>
      <c r="J57" s="8"/>
      <c r="K57" s="8"/>
      <c r="L57" s="8"/>
      <c r="M57" s="8"/>
      <c r="N57" s="8"/>
    </row>
    <row r="58" spans="1:14" x14ac:dyDescent="0.4">
      <c r="A58" s="9">
        <v>11</v>
      </c>
      <c r="B58" s="3" t="s">
        <v>49</v>
      </c>
      <c r="C58" s="580" t="s">
        <v>851</v>
      </c>
      <c r="D58" s="580"/>
      <c r="E58" s="580"/>
      <c r="F58" s="11"/>
      <c r="G58" s="11"/>
      <c r="H58" s="43"/>
      <c r="I58" s="11"/>
      <c r="J58" s="11"/>
      <c r="K58" s="8"/>
      <c r="L58" s="8"/>
      <c r="M58" s="8"/>
      <c r="N58" s="8"/>
    </row>
    <row r="59" spans="1:14" x14ac:dyDescent="0.4">
      <c r="A59" s="9"/>
      <c r="B59" s="15"/>
      <c r="C59" s="15"/>
      <c r="D59" s="170"/>
      <c r="E59" s="15"/>
      <c r="F59" s="15"/>
      <c r="G59" s="15"/>
      <c r="H59" s="44"/>
      <c r="I59" s="44"/>
      <c r="J59" s="15"/>
      <c r="K59" s="8"/>
      <c r="L59" s="8"/>
      <c r="M59" s="8"/>
      <c r="N59" s="8"/>
    </row>
    <row r="60" spans="1:14" x14ac:dyDescent="0.4">
      <c r="A60" s="9">
        <v>12</v>
      </c>
      <c r="B60" s="11" t="s">
        <v>51</v>
      </c>
      <c r="C60" s="11"/>
      <c r="D60" s="176"/>
      <c r="E60" s="43"/>
      <c r="F60" s="43"/>
      <c r="G60" s="11"/>
      <c r="H60" s="11"/>
      <c r="I60" s="11"/>
      <c r="J60" s="11"/>
      <c r="K60" s="11"/>
      <c r="L60" s="11"/>
      <c r="M60" s="11"/>
      <c r="N60" s="11"/>
    </row>
    <row r="61" spans="1:14" x14ac:dyDescent="0.4">
      <c r="A61" s="9"/>
      <c r="B61" s="11"/>
      <c r="C61" s="11"/>
      <c r="D61" s="176"/>
      <c r="E61" s="43"/>
      <c r="F61" s="43"/>
      <c r="G61" s="43"/>
      <c r="H61" s="11"/>
      <c r="I61" s="11"/>
      <c r="J61" s="11"/>
      <c r="K61" s="11"/>
      <c r="L61" s="11"/>
      <c r="M61" s="11"/>
      <c r="N61" s="11"/>
    </row>
    <row r="62" spans="1:14" x14ac:dyDescent="0.4">
      <c r="A62" s="9"/>
      <c r="B62" s="17" t="s">
        <v>52</v>
      </c>
      <c r="C62" s="446" t="s">
        <v>1485</v>
      </c>
      <c r="D62" s="446"/>
      <c r="E62" s="446"/>
      <c r="F62" s="44"/>
      <c r="G62" s="44"/>
      <c r="H62" s="118"/>
      <c r="I62" s="15"/>
      <c r="J62" s="15"/>
      <c r="K62" s="15"/>
      <c r="L62" s="15"/>
      <c r="M62" s="15"/>
      <c r="N62" s="15"/>
    </row>
    <row r="63" spans="1:14" x14ac:dyDescent="0.4">
      <c r="A63" s="9"/>
      <c r="B63" s="15"/>
      <c r="C63" s="15"/>
      <c r="D63" s="236"/>
      <c r="E63" s="118"/>
      <c r="F63" s="15"/>
      <c r="G63" s="15"/>
      <c r="H63" s="118"/>
      <c r="I63" s="118"/>
      <c r="J63" s="15"/>
      <c r="K63" s="15"/>
      <c r="L63" s="15"/>
      <c r="M63" s="15"/>
      <c r="N63" s="15"/>
    </row>
    <row r="64" spans="1:14" x14ac:dyDescent="0.4">
      <c r="A64" s="9"/>
      <c r="B64" s="365" t="s">
        <v>53</v>
      </c>
      <c r="C64" s="366" t="s">
        <v>1486</v>
      </c>
      <c r="D64" s="558" t="s">
        <v>271</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115.71</v>
      </c>
      <c r="D66" s="101">
        <v>157.05000000000001</v>
      </c>
      <c r="E66" s="101">
        <v>184.8</v>
      </c>
      <c r="F66" s="101" t="s">
        <v>41</v>
      </c>
      <c r="G66" s="101" t="s">
        <v>41</v>
      </c>
      <c r="H66" s="101" t="s">
        <v>41</v>
      </c>
      <c r="I66" s="45" t="s">
        <v>41</v>
      </c>
      <c r="J66" s="45" t="s">
        <v>41</v>
      </c>
      <c r="K66" s="45" t="s">
        <v>41</v>
      </c>
      <c r="L66" s="45" t="s">
        <v>41</v>
      </c>
      <c r="M66" s="45" t="s">
        <v>41</v>
      </c>
      <c r="N66" s="45" t="s">
        <v>41</v>
      </c>
    </row>
    <row r="67" spans="1:14" x14ac:dyDescent="0.4">
      <c r="A67" s="2"/>
      <c r="B67" s="17" t="s">
        <v>216</v>
      </c>
      <c r="C67" s="284">
        <v>67097.440000000002</v>
      </c>
      <c r="D67" s="287">
        <v>64948.66</v>
      </c>
      <c r="E67" s="101">
        <v>66166.929999999993</v>
      </c>
      <c r="F67" s="101" t="s">
        <v>41</v>
      </c>
      <c r="G67" s="101" t="s">
        <v>41</v>
      </c>
      <c r="H67" s="101" t="s">
        <v>41</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s="8" customFormat="1" ht="13.25" x14ac:dyDescent="0.4">
      <c r="A69" s="2"/>
      <c r="B69" s="399" t="s">
        <v>1102</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1127</v>
      </c>
      <c r="E78" s="18" t="s">
        <v>218</v>
      </c>
      <c r="F78" s="18" t="s">
        <v>71</v>
      </c>
      <c r="G78" s="18" t="s">
        <v>107</v>
      </c>
      <c r="H78" s="13"/>
      <c r="I78" s="13"/>
      <c r="J78" s="13"/>
      <c r="K78" s="13"/>
      <c r="L78" s="13"/>
      <c r="M78" s="13"/>
      <c r="N78" s="13"/>
    </row>
    <row r="79" spans="1:14" ht="25.55" customHeight="1" x14ac:dyDescent="0.4">
      <c r="A79" s="2"/>
      <c r="B79" s="411" t="s">
        <v>1271</v>
      </c>
      <c r="C79" s="207" t="s">
        <v>1487</v>
      </c>
      <c r="D79" s="55">
        <v>6.02</v>
      </c>
      <c r="E79" s="435" t="s">
        <v>1338</v>
      </c>
      <c r="F79" s="435" t="s">
        <v>326</v>
      </c>
      <c r="G79" s="435" t="s">
        <v>220</v>
      </c>
      <c r="H79" s="53"/>
      <c r="I79" s="53"/>
      <c r="J79" s="53"/>
      <c r="K79" s="53"/>
      <c r="L79" s="53"/>
      <c r="M79" s="53"/>
      <c r="N79" s="53"/>
    </row>
    <row r="80" spans="1:14" x14ac:dyDescent="0.4">
      <c r="A80" s="2"/>
      <c r="B80" s="533"/>
      <c r="C80" s="207" t="s">
        <v>987</v>
      </c>
      <c r="D80" s="287" t="s">
        <v>1077</v>
      </c>
      <c r="E80" s="436"/>
      <c r="F80" s="436"/>
      <c r="G80" s="436"/>
      <c r="H80" s="53"/>
      <c r="I80" s="53"/>
      <c r="J80" s="53"/>
      <c r="K80" s="53"/>
      <c r="L80" s="53"/>
      <c r="M80" s="53"/>
      <c r="N80" s="53"/>
    </row>
    <row r="81" spans="1:14" x14ac:dyDescent="0.4">
      <c r="A81" s="2"/>
      <c r="B81" s="534"/>
      <c r="C81" s="207" t="s">
        <v>74</v>
      </c>
      <c r="D81" s="55">
        <v>0</v>
      </c>
      <c r="E81" s="436"/>
      <c r="F81" s="436"/>
      <c r="G81" s="436"/>
      <c r="H81" s="53"/>
      <c r="I81" s="53"/>
      <c r="J81" s="53"/>
      <c r="K81" s="53"/>
      <c r="L81" s="53"/>
      <c r="M81" s="53"/>
      <c r="N81" s="53"/>
    </row>
    <row r="82" spans="1:14" ht="25.65" x14ac:dyDescent="0.4">
      <c r="A82" s="2"/>
      <c r="B82" s="411" t="s">
        <v>75</v>
      </c>
      <c r="C82" s="207" t="s">
        <v>1487</v>
      </c>
      <c r="D82" s="287">
        <v>9.6300000000000008</v>
      </c>
      <c r="E82" s="436"/>
      <c r="F82" s="436"/>
      <c r="G82" s="436"/>
      <c r="H82" s="53"/>
      <c r="I82" s="53"/>
      <c r="J82" s="53"/>
      <c r="K82" s="53"/>
      <c r="L82" s="53"/>
      <c r="M82" s="53"/>
      <c r="N82" s="53"/>
    </row>
    <row r="83" spans="1:14" x14ac:dyDescent="0.4">
      <c r="A83" s="2"/>
      <c r="B83" s="533"/>
      <c r="C83" s="207" t="s">
        <v>987</v>
      </c>
      <c r="D83" s="287" t="s">
        <v>1077</v>
      </c>
      <c r="E83" s="436"/>
      <c r="F83" s="436"/>
      <c r="G83" s="436"/>
      <c r="H83" s="53"/>
      <c r="I83" s="53"/>
      <c r="J83" s="53"/>
      <c r="K83" s="53"/>
      <c r="L83" s="53"/>
      <c r="M83" s="53"/>
      <c r="N83" s="53"/>
    </row>
    <row r="84" spans="1:14" x14ac:dyDescent="0.4">
      <c r="A84" s="2"/>
      <c r="B84" s="534"/>
      <c r="C84" s="207" t="s">
        <v>74</v>
      </c>
      <c r="D84" s="55">
        <v>22.26</v>
      </c>
      <c r="E84" s="436"/>
      <c r="F84" s="436"/>
      <c r="G84" s="436"/>
      <c r="H84" s="53"/>
      <c r="I84" s="53"/>
      <c r="J84" s="53"/>
      <c r="K84" s="53"/>
      <c r="L84" s="53"/>
      <c r="M84" s="53"/>
      <c r="N84" s="53"/>
    </row>
    <row r="85" spans="1:14" ht="25.65" x14ac:dyDescent="0.4">
      <c r="A85" s="2"/>
      <c r="B85" s="411" t="s">
        <v>76</v>
      </c>
      <c r="C85" s="207" t="s">
        <v>1487</v>
      </c>
      <c r="D85" s="55">
        <v>38.5</v>
      </c>
      <c r="E85" s="436"/>
      <c r="F85" s="436"/>
      <c r="G85" s="436"/>
      <c r="H85" s="53"/>
      <c r="I85" s="53"/>
      <c r="J85" s="53"/>
      <c r="K85" s="53"/>
      <c r="L85" s="53"/>
      <c r="M85" s="53"/>
      <c r="N85" s="53"/>
    </row>
    <row r="86" spans="1:14" x14ac:dyDescent="0.4">
      <c r="A86" s="2"/>
      <c r="B86" s="533"/>
      <c r="C86" s="207" t="s">
        <v>987</v>
      </c>
      <c r="D86" s="287" t="s">
        <v>1077</v>
      </c>
      <c r="E86" s="436"/>
      <c r="F86" s="436"/>
      <c r="G86" s="436"/>
      <c r="H86" s="53"/>
      <c r="I86" s="53"/>
      <c r="J86" s="53"/>
      <c r="K86" s="53"/>
      <c r="L86" s="53"/>
      <c r="M86" s="53"/>
      <c r="N86" s="53"/>
    </row>
    <row r="87" spans="1:14" x14ac:dyDescent="0.4">
      <c r="A87" s="2"/>
      <c r="B87" s="534"/>
      <c r="C87" s="207" t="s">
        <v>74</v>
      </c>
      <c r="D87" s="55">
        <v>0</v>
      </c>
      <c r="E87" s="436"/>
      <c r="F87" s="436"/>
      <c r="G87" s="436"/>
      <c r="H87" s="53"/>
      <c r="I87" s="53"/>
      <c r="J87" s="53"/>
      <c r="K87" s="53"/>
      <c r="L87" s="53"/>
      <c r="M87" s="53"/>
      <c r="N87" s="53"/>
    </row>
    <row r="88" spans="1:14" ht="25.65" x14ac:dyDescent="0.4">
      <c r="A88" s="2"/>
      <c r="B88" s="603" t="s">
        <v>77</v>
      </c>
      <c r="C88" s="207" t="s">
        <v>1487</v>
      </c>
      <c r="D88" s="287">
        <v>29.87</v>
      </c>
      <c r="E88" s="436"/>
      <c r="F88" s="436"/>
      <c r="G88" s="436"/>
      <c r="H88" s="53"/>
      <c r="I88" s="53"/>
      <c r="J88" s="53"/>
      <c r="K88" s="53"/>
      <c r="L88" s="53"/>
      <c r="M88" s="53"/>
      <c r="N88" s="53"/>
    </row>
    <row r="89" spans="1:14" x14ac:dyDescent="0.4">
      <c r="A89" s="2"/>
      <c r="B89" s="604"/>
      <c r="C89" s="207" t="s">
        <v>987</v>
      </c>
      <c r="D89" s="287" t="s">
        <v>1077</v>
      </c>
      <c r="E89" s="436"/>
      <c r="F89" s="436"/>
      <c r="G89" s="436"/>
      <c r="H89" s="53"/>
      <c r="I89" s="53"/>
      <c r="J89" s="53"/>
      <c r="K89" s="53"/>
      <c r="L89" s="53"/>
      <c r="M89" s="53"/>
      <c r="N89" s="53"/>
    </row>
    <row r="90" spans="1:14" ht="15.05" customHeight="1" x14ac:dyDescent="0.4">
      <c r="A90" s="2"/>
      <c r="B90" s="604"/>
      <c r="C90" s="3" t="s">
        <v>74</v>
      </c>
      <c r="D90" s="55">
        <v>0</v>
      </c>
      <c r="E90" s="547"/>
      <c r="F90" s="547"/>
      <c r="G90" s="547"/>
      <c r="H90" s="53"/>
      <c r="I90" s="53"/>
      <c r="J90" s="53"/>
      <c r="K90" s="53"/>
      <c r="L90" s="53"/>
      <c r="M90" s="53"/>
      <c r="N90" s="53"/>
    </row>
    <row r="91" spans="1:14" ht="15.8" customHeight="1" x14ac:dyDescent="0.4">
      <c r="A91" s="8"/>
      <c r="B91" s="608" t="s">
        <v>1488</v>
      </c>
      <c r="C91" s="609"/>
      <c r="D91" s="609"/>
      <c r="E91" s="609"/>
      <c r="F91" s="609"/>
      <c r="G91" s="610"/>
      <c r="H91" s="53"/>
      <c r="I91" s="53"/>
      <c r="J91" s="8"/>
      <c r="K91" s="8"/>
      <c r="L91" s="8"/>
      <c r="M91" s="8"/>
      <c r="N91" s="8"/>
    </row>
    <row r="92" spans="1:14" ht="26.3" customHeight="1" x14ac:dyDescent="0.4">
      <c r="A92" s="9">
        <v>14</v>
      </c>
      <c r="B92" s="611" t="s">
        <v>989</v>
      </c>
      <c r="C92" s="612"/>
      <c r="D92" s="612"/>
      <c r="E92" s="612"/>
      <c r="F92" s="612"/>
      <c r="G92" s="613"/>
      <c r="H92" s="8"/>
      <c r="I92" s="8"/>
      <c r="J92" s="8"/>
      <c r="K92" s="8"/>
      <c r="L92" s="8"/>
      <c r="M92" s="8"/>
      <c r="N92" s="8"/>
    </row>
    <row r="93" spans="1:14" x14ac:dyDescent="0.4">
      <c r="A93" s="23"/>
      <c r="B93" s="61" t="s">
        <v>78</v>
      </c>
      <c r="C93" s="497" t="s">
        <v>41</v>
      </c>
      <c r="D93" s="497"/>
      <c r="E93" s="497"/>
      <c r="F93" s="497"/>
      <c r="G93" s="497"/>
      <c r="H93" s="8"/>
      <c r="I93" s="8"/>
      <c r="J93" s="8"/>
      <c r="K93" s="8"/>
      <c r="L93" s="8"/>
      <c r="M93" s="8"/>
      <c r="N93" s="8"/>
    </row>
    <row r="94" spans="1:14" x14ac:dyDescent="0.4">
      <c r="A94" s="8"/>
      <c r="B94" s="8"/>
      <c r="C94" s="10"/>
      <c r="D94" s="208"/>
      <c r="E94" s="200"/>
      <c r="F94" s="200"/>
      <c r="G94" s="200"/>
      <c r="H94" s="8"/>
      <c r="I94" s="8"/>
      <c r="J94" s="8"/>
      <c r="K94" s="8"/>
      <c r="L94" s="8"/>
      <c r="M94" s="8"/>
      <c r="N94" s="8"/>
    </row>
    <row r="95" spans="1:14" x14ac:dyDescent="0.4">
      <c r="A95" s="8"/>
      <c r="B95" s="8"/>
      <c r="C95" s="8"/>
      <c r="D95" s="208"/>
      <c r="H95" s="8"/>
      <c r="I95" s="8"/>
      <c r="J95" s="8"/>
      <c r="K95" s="8"/>
      <c r="L95" s="8"/>
      <c r="M95" s="8"/>
      <c r="N95" s="8"/>
    </row>
    <row r="96" spans="1:14" ht="15.05" customHeight="1" x14ac:dyDescent="0.4">
      <c r="A96" s="8"/>
      <c r="B96" s="8"/>
      <c r="C96" s="8"/>
      <c r="D96" s="167"/>
      <c r="H96" s="200"/>
      <c r="I96" s="8"/>
      <c r="J96" s="8"/>
      <c r="K96" s="8"/>
      <c r="L96" s="8"/>
      <c r="M96" s="8"/>
      <c r="N96" s="8"/>
    </row>
    <row r="97" spans="2:7" x14ac:dyDescent="0.4">
      <c r="B97" s="538" t="s">
        <v>1489</v>
      </c>
      <c r="C97" s="538"/>
      <c r="D97" s="538"/>
      <c r="E97" s="538"/>
      <c r="F97" s="538"/>
      <c r="G97" s="538"/>
    </row>
    <row r="98" spans="2:7" x14ac:dyDescent="0.4">
      <c r="C98" s="200"/>
    </row>
    <row r="99" spans="2:7" x14ac:dyDescent="0.4">
      <c r="B99" s="497" t="s">
        <v>1490</v>
      </c>
      <c r="C99" s="497"/>
      <c r="D99" s="497"/>
      <c r="E99" s="497"/>
      <c r="F99" s="497"/>
      <c r="G99" s="497"/>
    </row>
    <row r="100" spans="2:7" x14ac:dyDescent="0.4">
      <c r="C100" s="238"/>
    </row>
    <row r="101" spans="2:7" x14ac:dyDescent="0.4">
      <c r="C101" s="228"/>
      <c r="D101" s="228"/>
    </row>
    <row r="102" spans="2:7" x14ac:dyDescent="0.4">
      <c r="C102" s="228"/>
    </row>
  </sheetData>
  <sheetProtection algorithmName="SHA-512" hashValue="mW+mGkcJcUFE21wpbABvYd6sAjNTC0wzax32rK8O2FKfNQf1gcpcW2xMr+Wvihf6o7A38Z/t1PSP65fbMyiWuA==" saltValue="uUwJhJczQPIy70SRZEKP5Q==" spinCount="100000" sheet="1" objects="1" scenarios="1"/>
  <mergeCells count="69">
    <mergeCell ref="B9:E9"/>
    <mergeCell ref="A1:B1"/>
    <mergeCell ref="C3:E3"/>
    <mergeCell ref="C5:E5"/>
    <mergeCell ref="B6:E6"/>
    <mergeCell ref="C8:E8"/>
    <mergeCell ref="B25:E25"/>
    <mergeCell ref="C11:E11"/>
    <mergeCell ref="B12:E12"/>
    <mergeCell ref="C14:E14"/>
    <mergeCell ref="B15:E15"/>
    <mergeCell ref="B17:E17"/>
    <mergeCell ref="C18:E18"/>
    <mergeCell ref="C19:E19"/>
    <mergeCell ref="C20:E20"/>
    <mergeCell ref="C21:E21"/>
    <mergeCell ref="C22:E22"/>
    <mergeCell ref="B24:E24"/>
    <mergeCell ref="C42:E42"/>
    <mergeCell ref="C27:C30"/>
    <mergeCell ref="D27:D30"/>
    <mergeCell ref="E27:E30"/>
    <mergeCell ref="B31:E31"/>
    <mergeCell ref="B33:E33"/>
    <mergeCell ref="C34:E34"/>
    <mergeCell ref="C35:E35"/>
    <mergeCell ref="C36:E36"/>
    <mergeCell ref="B39:E39"/>
    <mergeCell ref="C40:E40"/>
    <mergeCell ref="C41:E41"/>
    <mergeCell ref="C62:E62"/>
    <mergeCell ref="B43:E43"/>
    <mergeCell ref="B45:E45"/>
    <mergeCell ref="B48:E48"/>
    <mergeCell ref="B50:E50"/>
    <mergeCell ref="B51:B52"/>
    <mergeCell ref="C51:E52"/>
    <mergeCell ref="C53:E53"/>
    <mergeCell ref="C54:E54"/>
    <mergeCell ref="B55:E55"/>
    <mergeCell ref="B56:E56"/>
    <mergeCell ref="C58:E58"/>
    <mergeCell ref="B72:N72"/>
    <mergeCell ref="B64:B65"/>
    <mergeCell ref="C64:C65"/>
    <mergeCell ref="D64:D65"/>
    <mergeCell ref="E64:E65"/>
    <mergeCell ref="F64:H64"/>
    <mergeCell ref="I64:K64"/>
    <mergeCell ref="L64:N64"/>
    <mergeCell ref="C68:N68"/>
    <mergeCell ref="B69:N69"/>
    <mergeCell ref="B70:N70"/>
    <mergeCell ref="B71:N71"/>
    <mergeCell ref="B73:N73"/>
    <mergeCell ref="B74:N74"/>
    <mergeCell ref="B76:G76"/>
    <mergeCell ref="B79:B81"/>
    <mergeCell ref="E79:E90"/>
    <mergeCell ref="F79:F90"/>
    <mergeCell ref="G79:G90"/>
    <mergeCell ref="B82:B84"/>
    <mergeCell ref="B85:B87"/>
    <mergeCell ref="B88:B90"/>
    <mergeCell ref="B91:G91"/>
    <mergeCell ref="B92:G92"/>
    <mergeCell ref="C93:G93"/>
    <mergeCell ref="B97:G97"/>
    <mergeCell ref="B99:G99"/>
  </mergeCells>
  <pageMargins left="0.7" right="0.7" top="0.75" bottom="0.75" header="0.3" footer="0.3"/>
  <pageSetup paperSize="8" orientation="landscape" verticalDpi="0" r:id="rId1"/>
  <rowBreaks count="1" manualBreakCount="1">
    <brk id="6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N115"/>
  <sheetViews>
    <sheetView view="pageBreakPreview" zoomScale="60" zoomScaleNormal="100" workbookViewId="0">
      <selection activeCell="B61" sqref="B61:E61"/>
    </sheetView>
  </sheetViews>
  <sheetFormatPr defaultColWidth="9.07421875" defaultRowHeight="14.6" x14ac:dyDescent="0.4"/>
  <cols>
    <col min="1" max="1" width="9.074218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4" width="9.07421875" style="8"/>
  </cols>
  <sheetData>
    <row r="1" spans="1:5" x14ac:dyDescent="0.4">
      <c r="A1" s="355" t="s">
        <v>0</v>
      </c>
      <c r="B1" s="355"/>
      <c r="D1" s="1"/>
    </row>
    <row r="3" spans="1:5" x14ac:dyDescent="0.4">
      <c r="A3" s="2" t="s">
        <v>1</v>
      </c>
      <c r="B3" s="3" t="s">
        <v>2</v>
      </c>
      <c r="C3" s="4" t="s">
        <v>1448</v>
      </c>
    </row>
    <row r="4" spans="1:5" x14ac:dyDescent="0.4">
      <c r="D4" s="5"/>
    </row>
    <row r="5" spans="1:5" x14ac:dyDescent="0.4">
      <c r="A5" s="6">
        <v>1</v>
      </c>
      <c r="B5" s="7" t="s">
        <v>3</v>
      </c>
      <c r="C5" s="356" t="s">
        <v>4</v>
      </c>
      <c r="D5" s="357"/>
      <c r="E5" s="358"/>
    </row>
    <row r="6" spans="1:5" x14ac:dyDescent="0.4">
      <c r="A6" s="9"/>
      <c r="B6" s="359" t="s">
        <v>5</v>
      </c>
      <c r="C6" s="359"/>
      <c r="D6" s="359"/>
      <c r="E6" s="10"/>
    </row>
    <row r="7" spans="1:5" x14ac:dyDescent="0.4">
      <c r="A7" s="9"/>
      <c r="B7" s="11"/>
      <c r="D7" s="5"/>
    </row>
    <row r="8" spans="1:5" x14ac:dyDescent="0.4">
      <c r="A8" s="9">
        <v>2</v>
      </c>
      <c r="B8" s="7" t="s">
        <v>6</v>
      </c>
      <c r="C8" s="12" t="s">
        <v>1449</v>
      </c>
      <c r="D8" s="5"/>
    </row>
    <row r="9" spans="1:5" x14ac:dyDescent="0.4">
      <c r="A9" s="9"/>
      <c r="B9" s="359" t="s">
        <v>5</v>
      </c>
      <c r="C9" s="359"/>
      <c r="D9" s="359"/>
    </row>
    <row r="10" spans="1:5" x14ac:dyDescent="0.4">
      <c r="A10" s="9"/>
      <c r="B10" s="11"/>
      <c r="D10" s="5"/>
    </row>
    <row r="11" spans="1:5" ht="25.65" x14ac:dyDescent="0.4">
      <c r="A11" s="9">
        <v>3</v>
      </c>
      <c r="B11" s="7" t="s">
        <v>7</v>
      </c>
      <c r="C11" s="356" t="s">
        <v>8</v>
      </c>
      <c r="D11" s="357"/>
      <c r="E11" s="358"/>
    </row>
    <row r="12" spans="1:5" x14ac:dyDescent="0.4">
      <c r="A12" s="9"/>
      <c r="B12" s="359" t="s">
        <v>5</v>
      </c>
      <c r="C12" s="359"/>
      <c r="D12" s="359"/>
      <c r="E12" s="10"/>
    </row>
    <row r="13" spans="1:5" x14ac:dyDescent="0.4">
      <c r="A13" s="9"/>
      <c r="B13" s="11"/>
      <c r="D13" s="5"/>
    </row>
    <row r="14" spans="1:5" x14ac:dyDescent="0.4">
      <c r="A14" s="9">
        <v>4</v>
      </c>
      <c r="B14" s="3" t="s">
        <v>9</v>
      </c>
      <c r="C14" s="338" t="s">
        <v>1450</v>
      </c>
      <c r="D14" s="5"/>
    </row>
    <row r="15" spans="1:5"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54" t="s">
        <v>1451</v>
      </c>
      <c r="D18" s="354"/>
      <c r="E18" s="354"/>
      <c r="F18" s="15"/>
      <c r="G18" s="13"/>
      <c r="H18" s="13"/>
      <c r="I18" s="13"/>
      <c r="J18" s="13"/>
      <c r="K18" s="13"/>
      <c r="L18" s="13"/>
      <c r="M18" s="13"/>
      <c r="N18" s="13"/>
    </row>
    <row r="19" spans="1:14" ht="25.65" x14ac:dyDescent="0.4">
      <c r="A19" s="9"/>
      <c r="B19" s="14" t="s">
        <v>1452</v>
      </c>
      <c r="C19" s="354" t="s">
        <v>1451</v>
      </c>
      <c r="D19" s="354"/>
      <c r="E19" s="354"/>
      <c r="F19" s="15"/>
      <c r="G19" s="13"/>
      <c r="I19" s="13"/>
      <c r="J19" s="13"/>
      <c r="K19" s="13"/>
      <c r="L19" s="13"/>
      <c r="M19" s="13"/>
      <c r="N19" s="13"/>
    </row>
    <row r="20" spans="1:14" x14ac:dyDescent="0.4">
      <c r="A20" s="9"/>
      <c r="B20" s="14" t="s">
        <v>14</v>
      </c>
      <c r="C20" s="573" t="s">
        <v>83</v>
      </c>
      <c r="D20" s="574"/>
      <c r="E20" s="575"/>
      <c r="F20" s="15"/>
      <c r="G20" s="13"/>
      <c r="H20" s="13"/>
      <c r="I20" s="13"/>
      <c r="J20" s="13"/>
      <c r="K20" s="13"/>
      <c r="L20" s="13"/>
      <c r="M20" s="13"/>
      <c r="N20" s="13"/>
    </row>
    <row r="21" spans="1:14" x14ac:dyDescent="0.4">
      <c r="A21" s="9"/>
      <c r="B21" s="14" t="s">
        <v>15</v>
      </c>
      <c r="C21" s="573" t="s">
        <v>83</v>
      </c>
      <c r="D21" s="574"/>
      <c r="E21" s="575"/>
      <c r="F21" s="15"/>
      <c r="G21" s="13"/>
      <c r="H21" s="13"/>
      <c r="I21" s="13"/>
      <c r="J21" s="13"/>
      <c r="K21" s="13"/>
      <c r="L21" s="13"/>
      <c r="M21" s="13"/>
      <c r="N21" s="13"/>
    </row>
    <row r="22" spans="1:14" x14ac:dyDescent="0.4">
      <c r="A22" s="9"/>
      <c r="B22" s="16" t="s">
        <v>16</v>
      </c>
      <c r="C22" s="573" t="s">
        <v>83</v>
      </c>
      <c r="D22" s="574"/>
      <c r="E22" s="575"/>
      <c r="F22" s="15"/>
      <c r="G22" s="13"/>
      <c r="H22" s="13"/>
      <c r="I22" s="13"/>
      <c r="J22" s="13"/>
      <c r="K22" s="13"/>
      <c r="L22" s="13"/>
      <c r="M22" s="13"/>
      <c r="N22" s="13"/>
    </row>
    <row r="23" spans="1:14" x14ac:dyDescent="0.4">
      <c r="A23" s="9"/>
      <c r="B23" s="359" t="s">
        <v>17</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1453</v>
      </c>
      <c r="D28" s="18" t="s">
        <v>22</v>
      </c>
      <c r="E28" s="18" t="s">
        <v>23</v>
      </c>
      <c r="F28" s="15"/>
    </row>
    <row r="29" spans="1:14" x14ac:dyDescent="0.4">
      <c r="A29" s="9"/>
      <c r="B29" s="19" t="s">
        <v>24</v>
      </c>
      <c r="C29" s="20" t="s">
        <v>83</v>
      </c>
      <c r="D29" s="20" t="s">
        <v>83</v>
      </c>
      <c r="E29" s="20" t="s">
        <v>83</v>
      </c>
    </row>
    <row r="30" spans="1:14" x14ac:dyDescent="0.4">
      <c r="A30" s="9"/>
      <c r="B30" s="19" t="s">
        <v>25</v>
      </c>
      <c r="C30" s="20" t="s">
        <v>83</v>
      </c>
      <c r="D30" s="20" t="s">
        <v>83</v>
      </c>
      <c r="E30" s="20" t="s">
        <v>83</v>
      </c>
    </row>
    <row r="31" spans="1:14" x14ac:dyDescent="0.4">
      <c r="A31" s="9"/>
      <c r="B31" s="19" t="s">
        <v>26</v>
      </c>
      <c r="C31" s="20" t="s">
        <v>83</v>
      </c>
      <c r="D31" s="20" t="s">
        <v>83</v>
      </c>
      <c r="E31" s="20" t="s">
        <v>83</v>
      </c>
    </row>
    <row r="32" spans="1:14" x14ac:dyDescent="0.4">
      <c r="A32" s="9"/>
      <c r="B32" s="19" t="s">
        <v>27</v>
      </c>
      <c r="C32" s="20" t="s">
        <v>83</v>
      </c>
      <c r="D32" s="20" t="s">
        <v>83</v>
      </c>
      <c r="E32" s="20" t="s">
        <v>83</v>
      </c>
    </row>
    <row r="33" spans="1:10" x14ac:dyDescent="0.4">
      <c r="A33" s="9"/>
      <c r="B33" s="363" t="s">
        <v>143</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30</v>
      </c>
      <c r="D36" s="13"/>
      <c r="E36" s="13"/>
      <c r="F36" s="13"/>
    </row>
    <row r="37" spans="1:10" x14ac:dyDescent="0.4">
      <c r="A37" s="9"/>
      <c r="B37" s="17" t="s">
        <v>31</v>
      </c>
      <c r="C37" s="20" t="s">
        <v>30</v>
      </c>
      <c r="D37" s="13"/>
      <c r="E37" s="13"/>
      <c r="F37" s="13"/>
    </row>
    <row r="38" spans="1:10" x14ac:dyDescent="0.4">
      <c r="A38" s="9"/>
      <c r="B38" s="22" t="s">
        <v>32</v>
      </c>
      <c r="C38" s="20" t="s">
        <v>30</v>
      </c>
      <c r="D38" s="13"/>
      <c r="E38" s="13"/>
      <c r="F38" s="13"/>
    </row>
    <row r="39" spans="1:10" x14ac:dyDescent="0.4">
      <c r="A39" s="9"/>
      <c r="B39" s="359" t="s">
        <v>144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ht="14.35" customHeight="1" x14ac:dyDescent="0.4">
      <c r="A43" s="9"/>
      <c r="B43" s="17" t="s">
        <v>34</v>
      </c>
      <c r="C43" s="373" t="s">
        <v>1454</v>
      </c>
      <c r="D43" s="374"/>
      <c r="E43" s="375"/>
      <c r="F43" s="13"/>
    </row>
    <row r="44" spans="1:10" x14ac:dyDescent="0.4">
      <c r="A44" s="9"/>
      <c r="B44" s="17" t="s">
        <v>31</v>
      </c>
      <c r="C44" s="373" t="s">
        <v>83</v>
      </c>
      <c r="D44" s="374"/>
      <c r="E44" s="375"/>
      <c r="F44" s="13"/>
    </row>
    <row r="45" spans="1:10" x14ac:dyDescent="0.4">
      <c r="A45" s="9"/>
      <c r="B45" s="17" t="s">
        <v>32</v>
      </c>
      <c r="C45" s="373" t="s">
        <v>83</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31"/>
      <c r="B49" s="27" t="s">
        <v>37</v>
      </c>
      <c r="C49" s="27" t="s">
        <v>38</v>
      </c>
      <c r="D49" s="28" t="s">
        <v>39</v>
      </c>
      <c r="E49" s="27" t="s">
        <v>40</v>
      </c>
    </row>
    <row r="50" spans="1:12" ht="26.5" x14ac:dyDescent="0.4">
      <c r="A50" s="264"/>
      <c r="B50" s="30" t="s">
        <v>1455</v>
      </c>
      <c r="C50" s="30" t="s">
        <v>1456</v>
      </c>
      <c r="D50" s="117" t="s">
        <v>186</v>
      </c>
      <c r="E50" s="117" t="s">
        <v>186</v>
      </c>
    </row>
    <row r="51" spans="1:12" ht="39.75" x14ac:dyDescent="0.4">
      <c r="A51" s="264"/>
      <c r="B51" s="30" t="s">
        <v>1457</v>
      </c>
      <c r="C51" s="30" t="s">
        <v>1458</v>
      </c>
      <c r="D51" s="117" t="s">
        <v>186</v>
      </c>
      <c r="E51" s="117" t="s">
        <v>186</v>
      </c>
    </row>
    <row r="52" spans="1:12" x14ac:dyDescent="0.4">
      <c r="A52" s="264"/>
      <c r="B52" s="30" t="s">
        <v>1459</v>
      </c>
      <c r="C52" s="30" t="s">
        <v>1460</v>
      </c>
      <c r="D52" s="117" t="s">
        <v>186</v>
      </c>
      <c r="E52" s="117" t="s">
        <v>186</v>
      </c>
    </row>
    <row r="53" spans="1:12" x14ac:dyDescent="0.4">
      <c r="A53" s="31"/>
      <c r="B53" s="380" t="s">
        <v>1461</v>
      </c>
      <c r="C53" s="381"/>
      <c r="D53" s="381"/>
      <c r="E53" s="382"/>
      <c r="F53" s="15"/>
      <c r="G53" s="15"/>
      <c r="H53" s="15"/>
    </row>
    <row r="54" spans="1:12" x14ac:dyDescent="0.4">
      <c r="A54" s="32"/>
      <c r="B54" s="62"/>
      <c r="C54" s="23"/>
      <c r="D54" s="23"/>
      <c r="E54" s="23"/>
      <c r="F54" s="15"/>
      <c r="G54" s="15"/>
      <c r="H54" s="15"/>
      <c r="I54" s="15"/>
    </row>
    <row r="55" spans="1:12" x14ac:dyDescent="0.4">
      <c r="A55" s="24">
        <v>10</v>
      </c>
      <c r="B55" s="376" t="s">
        <v>36</v>
      </c>
      <c r="C55" s="365"/>
      <c r="D55" s="365"/>
      <c r="E55" s="365"/>
      <c r="F55" s="15"/>
      <c r="G55" s="15"/>
      <c r="H55" s="15"/>
    </row>
    <row r="56" spans="1:12" ht="14.7" customHeight="1" x14ac:dyDescent="0.4">
      <c r="A56" s="29"/>
      <c r="B56" s="383" t="s">
        <v>43</v>
      </c>
      <c r="C56" s="426" t="s">
        <v>1456</v>
      </c>
      <c r="D56" s="427"/>
      <c r="E56" s="428"/>
      <c r="K56" s="1"/>
    </row>
    <row r="57" spans="1:12" ht="30.05" customHeight="1" x14ac:dyDescent="0.4">
      <c r="A57" s="29"/>
      <c r="B57" s="384"/>
      <c r="C57" s="426" t="s">
        <v>1458</v>
      </c>
      <c r="D57" s="427"/>
      <c r="E57" s="428"/>
      <c r="K57" s="1"/>
    </row>
    <row r="58" spans="1:12" x14ac:dyDescent="0.4">
      <c r="A58" s="29"/>
      <c r="B58" s="425"/>
      <c r="C58" s="339" t="s">
        <v>1460</v>
      </c>
      <c r="D58" s="340"/>
      <c r="E58" s="341"/>
      <c r="K58" s="1"/>
    </row>
    <row r="59" spans="1:12" x14ac:dyDescent="0.4">
      <c r="A59" s="24"/>
      <c r="B59" s="33" t="s">
        <v>44</v>
      </c>
      <c r="C59" s="471" t="s">
        <v>186</v>
      </c>
      <c r="D59" s="472"/>
      <c r="E59" s="473"/>
    </row>
    <row r="60" spans="1:12" x14ac:dyDescent="0.4">
      <c r="A60" s="29"/>
      <c r="B60" s="33" t="s">
        <v>45</v>
      </c>
      <c r="C60" s="391" t="s">
        <v>186</v>
      </c>
      <c r="D60" s="391"/>
      <c r="E60" s="391"/>
      <c r="K60" s="34"/>
    </row>
    <row r="61" spans="1:12" x14ac:dyDescent="0.4">
      <c r="A61" s="29"/>
      <c r="B61" s="380" t="s">
        <v>1461</v>
      </c>
      <c r="C61" s="381"/>
      <c r="D61" s="381"/>
      <c r="E61" s="382"/>
      <c r="K61" s="34"/>
    </row>
    <row r="62" spans="1:12" x14ac:dyDescent="0.4">
      <c r="A62" s="36"/>
      <c r="B62" s="2"/>
      <c r="C62" s="37"/>
      <c r="D62" s="38"/>
      <c r="E62" s="39"/>
      <c r="F62" s="34"/>
      <c r="G62" s="34"/>
      <c r="H62" s="34"/>
      <c r="I62" s="34"/>
      <c r="J62" s="34"/>
      <c r="K62" s="34"/>
      <c r="L62" s="34"/>
    </row>
    <row r="63" spans="1:12" x14ac:dyDescent="0.4">
      <c r="A63" s="40"/>
      <c r="B63" s="41"/>
      <c r="C63" s="42"/>
      <c r="D63" s="42"/>
      <c r="E63" s="42"/>
      <c r="F63" s="42"/>
      <c r="G63" s="230"/>
    </row>
    <row r="64" spans="1:12" ht="14.35" customHeight="1" x14ac:dyDescent="0.4">
      <c r="A64" s="9">
        <v>11</v>
      </c>
      <c r="B64" s="3" t="s">
        <v>49</v>
      </c>
      <c r="C64" s="580" t="s">
        <v>851</v>
      </c>
      <c r="D64" s="580"/>
      <c r="E64" s="580"/>
      <c r="F64" s="11"/>
      <c r="G64" s="282"/>
      <c r="H64" s="43"/>
      <c r="I64" s="11"/>
      <c r="J64" s="11"/>
    </row>
    <row r="65" spans="1:14" x14ac:dyDescent="0.4">
      <c r="A65" s="9"/>
      <c r="B65" s="15"/>
      <c r="C65" s="15"/>
      <c r="D65" s="15"/>
      <c r="E65" s="15"/>
      <c r="F65" s="15"/>
      <c r="G65" s="15"/>
      <c r="H65" s="44"/>
      <c r="I65" s="44"/>
      <c r="J65" s="15"/>
    </row>
    <row r="66" spans="1:14" x14ac:dyDescent="0.4">
      <c r="A66" s="9">
        <v>12</v>
      </c>
      <c r="B66" s="11" t="s">
        <v>51</v>
      </c>
      <c r="C66" s="11"/>
      <c r="D66" s="11"/>
      <c r="E66" s="11"/>
      <c r="F66" s="11"/>
      <c r="G66" s="11"/>
      <c r="H66" s="11"/>
      <c r="I66" s="11"/>
      <c r="J66" s="11"/>
      <c r="K66" s="11"/>
      <c r="L66" s="11"/>
      <c r="M66" s="11"/>
      <c r="N66" s="11"/>
    </row>
    <row r="67" spans="1:14" x14ac:dyDescent="0.4">
      <c r="A67" s="9"/>
      <c r="B67" s="11"/>
      <c r="C67" s="11"/>
      <c r="D67" s="11"/>
      <c r="E67" s="11"/>
      <c r="F67" s="11"/>
      <c r="G67" s="11"/>
      <c r="H67" s="11"/>
      <c r="I67" s="11"/>
      <c r="J67" s="11"/>
      <c r="K67" s="11"/>
      <c r="L67" s="11"/>
      <c r="M67" s="11"/>
      <c r="N67" s="11"/>
    </row>
    <row r="68" spans="1:14" x14ac:dyDescent="0.4">
      <c r="A68" s="9"/>
      <c r="B68" s="17" t="s">
        <v>52</v>
      </c>
      <c r="C68" s="19" t="s">
        <v>1462</v>
      </c>
      <c r="D68" s="15"/>
      <c r="E68" s="15"/>
      <c r="F68" s="44"/>
      <c r="G68" s="44"/>
      <c r="H68" s="15"/>
      <c r="I68" s="15"/>
      <c r="J68" s="15"/>
      <c r="K68" s="15"/>
      <c r="L68" s="15"/>
      <c r="M68" s="15"/>
      <c r="N68" s="15"/>
    </row>
    <row r="69" spans="1:14" x14ac:dyDescent="0.4">
      <c r="A69" s="9"/>
      <c r="B69" s="15"/>
      <c r="C69" s="15"/>
      <c r="D69" s="15"/>
      <c r="E69" s="15"/>
      <c r="F69" s="15"/>
      <c r="G69" s="15"/>
      <c r="H69" s="15"/>
      <c r="I69" s="15"/>
      <c r="J69" s="15"/>
      <c r="K69" s="15"/>
      <c r="L69" s="15"/>
      <c r="M69" s="15"/>
      <c r="N69" s="15"/>
    </row>
    <row r="70" spans="1:14" x14ac:dyDescent="0.4">
      <c r="A70" s="9"/>
      <c r="B70" s="365" t="s">
        <v>53</v>
      </c>
      <c r="C70" s="366" t="s">
        <v>1463</v>
      </c>
      <c r="D70" s="366" t="s">
        <v>1464</v>
      </c>
      <c r="E70" s="403" t="s">
        <v>1626</v>
      </c>
      <c r="F70" s="395" t="s">
        <v>54</v>
      </c>
      <c r="G70" s="396"/>
      <c r="H70" s="397"/>
      <c r="I70" s="398" t="s">
        <v>55</v>
      </c>
      <c r="J70" s="398"/>
      <c r="K70" s="398"/>
      <c r="L70" s="398" t="s">
        <v>56</v>
      </c>
      <c r="M70" s="398"/>
      <c r="N70" s="398"/>
    </row>
    <row r="71" spans="1:14" ht="38.450000000000003" x14ac:dyDescent="0.4">
      <c r="A71" s="2"/>
      <c r="B71" s="365"/>
      <c r="C71" s="402"/>
      <c r="D71" s="402"/>
      <c r="E71" s="404"/>
      <c r="F71" s="17" t="s">
        <v>57</v>
      </c>
      <c r="G71" s="17" t="s">
        <v>58</v>
      </c>
      <c r="H71" s="17" t="s">
        <v>59</v>
      </c>
      <c r="I71" s="17" t="s">
        <v>60</v>
      </c>
      <c r="J71" s="17" t="s">
        <v>58</v>
      </c>
      <c r="K71" s="17" t="s">
        <v>59</v>
      </c>
      <c r="L71" s="17" t="s">
        <v>60</v>
      </c>
      <c r="M71" s="17" t="s">
        <v>58</v>
      </c>
      <c r="N71" s="17" t="s">
        <v>59</v>
      </c>
    </row>
    <row r="72" spans="1:14" x14ac:dyDescent="0.4">
      <c r="A72" s="2"/>
      <c r="B72" s="17" t="s">
        <v>61</v>
      </c>
      <c r="C72" s="89">
        <v>103.74</v>
      </c>
      <c r="D72" s="89">
        <v>132.30000000000001</v>
      </c>
      <c r="E72" s="89">
        <v>95.95</v>
      </c>
      <c r="F72" s="89" t="s">
        <v>83</v>
      </c>
      <c r="G72" s="89" t="s">
        <v>83</v>
      </c>
      <c r="H72" s="89" t="s">
        <v>83</v>
      </c>
      <c r="I72" s="89" t="s">
        <v>83</v>
      </c>
      <c r="J72" s="89" t="s">
        <v>83</v>
      </c>
      <c r="K72" s="89" t="s">
        <v>83</v>
      </c>
      <c r="L72" s="89" t="s">
        <v>83</v>
      </c>
      <c r="M72" s="89" t="s">
        <v>83</v>
      </c>
      <c r="N72" s="89" t="s">
        <v>83</v>
      </c>
    </row>
    <row r="73" spans="1:14" ht="25.65" x14ac:dyDescent="0.4">
      <c r="A73" s="2"/>
      <c r="B73" s="17" t="s">
        <v>62</v>
      </c>
      <c r="C73" s="89">
        <v>66707.199999999997</v>
      </c>
      <c r="D73" s="89">
        <v>65252.34</v>
      </c>
      <c r="E73" s="89">
        <v>64049.06</v>
      </c>
      <c r="F73" s="89" t="s">
        <v>83</v>
      </c>
      <c r="G73" s="89" t="s">
        <v>83</v>
      </c>
      <c r="H73" s="89" t="s">
        <v>83</v>
      </c>
      <c r="I73" s="89" t="s">
        <v>83</v>
      </c>
      <c r="J73" s="89" t="s">
        <v>83</v>
      </c>
      <c r="K73" s="89" t="s">
        <v>83</v>
      </c>
      <c r="L73" s="89" t="s">
        <v>83</v>
      </c>
      <c r="M73" s="89" t="s">
        <v>83</v>
      </c>
      <c r="N73" s="89" t="s">
        <v>83</v>
      </c>
    </row>
    <row r="74" spans="1:14" x14ac:dyDescent="0.4">
      <c r="A74" s="2"/>
      <c r="B74" s="17" t="s">
        <v>1087</v>
      </c>
      <c r="C74" s="546" t="s">
        <v>83</v>
      </c>
      <c r="D74" s="546"/>
      <c r="E74" s="546"/>
      <c r="F74" s="546"/>
      <c r="G74" s="546"/>
      <c r="H74" s="546"/>
      <c r="I74" s="546"/>
      <c r="J74" s="546"/>
      <c r="K74" s="546"/>
      <c r="L74" s="546"/>
      <c r="M74" s="546"/>
      <c r="N74" s="546"/>
    </row>
    <row r="75" spans="1:14" x14ac:dyDescent="0.4">
      <c r="A75" s="2"/>
      <c r="B75" s="399" t="s">
        <v>158</v>
      </c>
      <c r="C75" s="399"/>
      <c r="D75" s="399"/>
      <c r="E75" s="399"/>
      <c r="F75" s="399"/>
      <c r="G75" s="399"/>
      <c r="H75" s="399"/>
      <c r="I75" s="399"/>
      <c r="J75" s="399"/>
      <c r="K75" s="399"/>
      <c r="L75" s="399"/>
      <c r="M75" s="399"/>
      <c r="N75" s="399"/>
    </row>
    <row r="76" spans="1:14" x14ac:dyDescent="0.4">
      <c r="A76" s="2"/>
      <c r="B76" s="401" t="s">
        <v>17</v>
      </c>
      <c r="C76" s="401"/>
      <c r="D76" s="401"/>
      <c r="E76" s="401"/>
      <c r="F76" s="401"/>
      <c r="G76" s="401"/>
      <c r="H76" s="401"/>
      <c r="I76" s="401"/>
      <c r="J76" s="401"/>
      <c r="K76" s="401"/>
      <c r="L76" s="401"/>
      <c r="M76" s="401"/>
      <c r="N76" s="401"/>
    </row>
    <row r="77" spans="1:14" x14ac:dyDescent="0.4">
      <c r="A77" s="2"/>
      <c r="B77" s="359" t="s">
        <v>63</v>
      </c>
      <c r="C77" s="359"/>
      <c r="D77" s="359"/>
      <c r="E77" s="359"/>
      <c r="F77" s="359"/>
      <c r="G77" s="359"/>
      <c r="H77" s="359"/>
      <c r="I77" s="359"/>
      <c r="J77" s="359"/>
      <c r="K77" s="359"/>
      <c r="L77" s="359"/>
      <c r="M77" s="359"/>
      <c r="N77" s="359"/>
    </row>
    <row r="78" spans="1:14" x14ac:dyDescent="0.4">
      <c r="A78" s="1"/>
      <c r="B78" s="359" t="s">
        <v>64</v>
      </c>
      <c r="C78" s="359"/>
      <c r="D78" s="359"/>
      <c r="E78" s="359"/>
      <c r="F78" s="359"/>
      <c r="G78" s="359"/>
      <c r="H78" s="359"/>
      <c r="I78" s="359"/>
      <c r="J78" s="359"/>
      <c r="K78" s="359"/>
      <c r="L78" s="359"/>
      <c r="M78" s="359"/>
      <c r="N78" s="359"/>
    </row>
    <row r="79" spans="1:14" x14ac:dyDescent="0.4">
      <c r="A79" s="2"/>
      <c r="B79" s="359" t="s">
        <v>80</v>
      </c>
      <c r="C79" s="359"/>
      <c r="D79" s="359"/>
      <c r="E79" s="359"/>
      <c r="F79" s="359"/>
      <c r="G79" s="359"/>
      <c r="H79" s="359"/>
      <c r="I79" s="359"/>
      <c r="J79" s="359"/>
      <c r="K79" s="359"/>
      <c r="L79" s="359"/>
      <c r="M79" s="359"/>
      <c r="N79" s="359"/>
    </row>
    <row r="80" spans="1:14" x14ac:dyDescent="0.4">
      <c r="A80" s="2"/>
      <c r="B80" s="359" t="s">
        <v>65</v>
      </c>
      <c r="C80" s="359"/>
      <c r="D80" s="359"/>
      <c r="E80" s="359"/>
      <c r="F80" s="359"/>
      <c r="G80" s="359"/>
      <c r="H80" s="359"/>
      <c r="I80" s="359"/>
      <c r="J80" s="359"/>
      <c r="K80" s="359"/>
      <c r="L80" s="359"/>
      <c r="M80" s="359"/>
      <c r="N80" s="359"/>
    </row>
    <row r="81" spans="1:14" x14ac:dyDescent="0.4">
      <c r="A81" s="2"/>
      <c r="B81" s="49"/>
      <c r="C81" s="49"/>
      <c r="D81" s="49"/>
      <c r="E81" s="49"/>
      <c r="F81" s="49"/>
      <c r="G81" s="13"/>
      <c r="H81" s="13"/>
      <c r="I81" s="13"/>
      <c r="J81" s="13"/>
      <c r="K81" s="13"/>
      <c r="L81" s="13"/>
      <c r="M81" s="13"/>
      <c r="N81" s="13"/>
    </row>
    <row r="82" spans="1:14" ht="14.35" customHeight="1" x14ac:dyDescent="0.4">
      <c r="A82" s="9">
        <v>13</v>
      </c>
      <c r="B82" s="17" t="s">
        <v>1087</v>
      </c>
      <c r="C82" s="546" t="s">
        <v>83</v>
      </c>
      <c r="D82" s="546"/>
      <c r="E82" s="546"/>
      <c r="F82" s="546"/>
      <c r="G82" s="546"/>
      <c r="H82" s="546"/>
      <c r="I82" s="546"/>
      <c r="J82" s="546"/>
      <c r="K82" s="546"/>
      <c r="L82" s="546"/>
      <c r="M82" s="546"/>
      <c r="N82" s="546"/>
    </row>
    <row r="83" spans="1:14" x14ac:dyDescent="0.4">
      <c r="A83" s="9"/>
      <c r="C83" s="15"/>
      <c r="D83" s="15"/>
      <c r="E83" s="15"/>
      <c r="F83" s="15"/>
      <c r="G83" s="15"/>
      <c r="H83" s="15"/>
      <c r="I83" s="15"/>
      <c r="J83" s="15"/>
      <c r="K83" s="15"/>
      <c r="L83" s="15"/>
      <c r="M83" s="15"/>
      <c r="N83" s="15"/>
    </row>
    <row r="84" spans="1:14" ht="102.5" x14ac:dyDescent="0.4">
      <c r="A84" s="2"/>
      <c r="B84" s="50" t="s">
        <v>67</v>
      </c>
      <c r="C84" s="18" t="s">
        <v>68</v>
      </c>
      <c r="D84" s="18" t="s">
        <v>69</v>
      </c>
      <c r="E84" s="18" t="s">
        <v>1465</v>
      </c>
      <c r="F84" s="18" t="s">
        <v>71</v>
      </c>
      <c r="G84" s="18" t="s">
        <v>107</v>
      </c>
      <c r="H84" s="13"/>
      <c r="I84" s="13"/>
      <c r="J84" s="13"/>
      <c r="K84" s="13"/>
      <c r="L84" s="13"/>
      <c r="M84" s="13"/>
      <c r="N84" s="13"/>
    </row>
    <row r="85" spans="1:14" x14ac:dyDescent="0.4">
      <c r="A85" s="2"/>
      <c r="B85" s="394" t="s">
        <v>72</v>
      </c>
      <c r="C85" s="3" t="s">
        <v>1466</v>
      </c>
      <c r="D85" s="65">
        <v>7.58</v>
      </c>
      <c r="E85" s="52" t="s">
        <v>83</v>
      </c>
      <c r="F85" s="52" t="s">
        <v>83</v>
      </c>
      <c r="G85" s="52" t="s">
        <v>83</v>
      </c>
      <c r="H85" s="53"/>
      <c r="I85" s="53"/>
      <c r="J85" s="53"/>
      <c r="K85" s="53"/>
      <c r="L85" s="53"/>
      <c r="M85" s="53"/>
      <c r="N85" s="53"/>
    </row>
    <row r="86" spans="1:14" x14ac:dyDescent="0.4">
      <c r="A86" s="2"/>
      <c r="B86" s="394"/>
      <c r="C86" s="3" t="s">
        <v>73</v>
      </c>
      <c r="D86" s="54"/>
      <c r="E86" s="52" t="s">
        <v>83</v>
      </c>
      <c r="F86" s="52" t="s">
        <v>83</v>
      </c>
      <c r="G86" s="52" t="s">
        <v>83</v>
      </c>
      <c r="H86" s="53"/>
      <c r="I86" s="53"/>
      <c r="J86" s="53"/>
      <c r="K86" s="53"/>
      <c r="L86" s="53"/>
      <c r="M86" s="53"/>
      <c r="N86" s="53"/>
    </row>
    <row r="87" spans="1:14" x14ac:dyDescent="0.4">
      <c r="A87" s="2"/>
      <c r="B87" s="394"/>
      <c r="C87" s="48" t="s">
        <v>1467</v>
      </c>
      <c r="D87" s="54">
        <v>7.58</v>
      </c>
      <c r="E87" s="52" t="s">
        <v>83</v>
      </c>
      <c r="F87" s="52" t="s">
        <v>83</v>
      </c>
      <c r="G87" s="52" t="s">
        <v>83</v>
      </c>
      <c r="H87" s="53"/>
      <c r="I87" s="53"/>
      <c r="J87" s="53"/>
      <c r="K87" s="53"/>
      <c r="L87" s="53"/>
      <c r="M87" s="53"/>
      <c r="N87" s="53"/>
    </row>
    <row r="88" spans="1:14" x14ac:dyDescent="0.4">
      <c r="A88" s="2"/>
      <c r="B88" s="394"/>
      <c r="C88" s="48" t="s">
        <v>1468</v>
      </c>
      <c r="D88" s="54">
        <v>7.58</v>
      </c>
      <c r="E88" s="52" t="s">
        <v>83</v>
      </c>
      <c r="F88" s="52" t="s">
        <v>83</v>
      </c>
      <c r="G88" s="52" t="s">
        <v>83</v>
      </c>
      <c r="H88" s="53"/>
      <c r="I88" s="53"/>
      <c r="J88" s="53"/>
      <c r="K88" s="53"/>
      <c r="L88" s="53"/>
      <c r="M88" s="53"/>
      <c r="N88" s="53"/>
    </row>
    <row r="89" spans="1:14" x14ac:dyDescent="0.4">
      <c r="A89" s="2"/>
      <c r="B89" s="394"/>
      <c r="C89" s="48" t="s">
        <v>1469</v>
      </c>
      <c r="D89" s="54">
        <v>1.64</v>
      </c>
      <c r="E89" s="52"/>
      <c r="F89" s="52"/>
      <c r="G89" s="52"/>
      <c r="H89" s="53"/>
      <c r="I89" s="53"/>
      <c r="J89" s="53"/>
      <c r="K89" s="53"/>
      <c r="L89" s="53"/>
      <c r="M89" s="53"/>
      <c r="N89" s="53"/>
    </row>
    <row r="90" spans="1:14" x14ac:dyDescent="0.4">
      <c r="A90" s="2"/>
      <c r="B90" s="394"/>
      <c r="C90" s="3" t="s">
        <v>74</v>
      </c>
      <c r="D90" s="342">
        <f>(D87+D88+D89)/3</f>
        <v>5.6000000000000005</v>
      </c>
      <c r="E90" s="52" t="s">
        <v>83</v>
      </c>
      <c r="F90" s="52" t="s">
        <v>83</v>
      </c>
      <c r="G90" s="52" t="s">
        <v>83</v>
      </c>
      <c r="H90" s="53"/>
      <c r="I90" s="53"/>
      <c r="J90" s="53"/>
      <c r="K90" s="53"/>
      <c r="L90" s="53"/>
      <c r="M90" s="53"/>
      <c r="N90" s="53"/>
    </row>
    <row r="91" spans="1:14" x14ac:dyDescent="0.4">
      <c r="A91" s="2"/>
      <c r="B91" s="394" t="s">
        <v>75</v>
      </c>
      <c r="C91" s="3" t="s">
        <v>1470</v>
      </c>
      <c r="D91" s="65">
        <v>6.86</v>
      </c>
      <c r="E91" s="52" t="s">
        <v>83</v>
      </c>
      <c r="F91" s="52" t="s">
        <v>83</v>
      </c>
      <c r="G91" s="52" t="s">
        <v>83</v>
      </c>
      <c r="H91" s="53"/>
      <c r="I91" s="53"/>
      <c r="J91" s="53"/>
      <c r="K91" s="53"/>
      <c r="L91" s="53"/>
      <c r="M91" s="53"/>
      <c r="N91" s="53"/>
    </row>
    <row r="92" spans="1:14" x14ac:dyDescent="0.4">
      <c r="A92" s="2"/>
      <c r="B92" s="394"/>
      <c r="C92" s="3" t="s">
        <v>73</v>
      </c>
      <c r="D92" s="65"/>
      <c r="E92" s="52" t="s">
        <v>83</v>
      </c>
      <c r="F92" s="52" t="s">
        <v>83</v>
      </c>
      <c r="G92" s="52" t="s">
        <v>83</v>
      </c>
      <c r="H92" s="53"/>
      <c r="I92" s="53"/>
      <c r="J92" s="53"/>
      <c r="K92" s="53"/>
      <c r="L92" s="53"/>
      <c r="M92" s="53"/>
      <c r="N92" s="53"/>
    </row>
    <row r="93" spans="1:14" x14ac:dyDescent="0.4">
      <c r="A93" s="2"/>
      <c r="B93" s="394"/>
      <c r="C93" s="48" t="s">
        <v>1467</v>
      </c>
      <c r="D93" s="65">
        <v>6.86</v>
      </c>
      <c r="E93" s="52" t="s">
        <v>83</v>
      </c>
      <c r="F93" s="52" t="s">
        <v>83</v>
      </c>
      <c r="G93" s="52" t="s">
        <v>83</v>
      </c>
      <c r="H93" s="53"/>
      <c r="I93" s="53"/>
      <c r="J93" s="53"/>
      <c r="K93" s="53"/>
      <c r="L93" s="53"/>
      <c r="M93" s="53"/>
      <c r="N93" s="53"/>
    </row>
    <row r="94" spans="1:14" x14ac:dyDescent="0.4">
      <c r="A94" s="2"/>
      <c r="B94" s="394"/>
      <c r="C94" s="48" t="s">
        <v>1468</v>
      </c>
      <c r="D94" s="68">
        <v>54.98</v>
      </c>
      <c r="E94" s="52" t="s">
        <v>83</v>
      </c>
      <c r="F94" s="52" t="s">
        <v>83</v>
      </c>
      <c r="G94" s="52" t="s">
        <v>83</v>
      </c>
      <c r="H94" s="53"/>
      <c r="I94" s="53"/>
      <c r="J94" s="53"/>
      <c r="K94" s="53"/>
      <c r="L94" s="53"/>
      <c r="M94" s="53"/>
      <c r="N94" s="53"/>
    </row>
    <row r="95" spans="1:14" x14ac:dyDescent="0.4">
      <c r="A95" s="2"/>
      <c r="B95" s="394"/>
      <c r="C95" s="48" t="s">
        <v>1469</v>
      </c>
      <c r="D95" s="65">
        <v>41.1</v>
      </c>
      <c r="E95" s="52"/>
      <c r="F95" s="52"/>
      <c r="G95" s="52"/>
      <c r="H95" s="53"/>
      <c r="I95" s="53"/>
      <c r="J95" s="53"/>
      <c r="K95" s="53"/>
      <c r="L95" s="53"/>
      <c r="M95" s="53"/>
      <c r="N95" s="53"/>
    </row>
    <row r="96" spans="1:14" x14ac:dyDescent="0.4">
      <c r="A96" s="2"/>
      <c r="B96" s="394"/>
      <c r="C96" s="3" t="s">
        <v>74</v>
      </c>
      <c r="D96" s="342">
        <f>(D93+D94+D95)/3</f>
        <v>34.313333333333333</v>
      </c>
      <c r="E96" s="52" t="s">
        <v>83</v>
      </c>
      <c r="F96" s="52" t="s">
        <v>83</v>
      </c>
      <c r="G96" s="52" t="s">
        <v>83</v>
      </c>
      <c r="H96" s="53"/>
      <c r="I96" s="53"/>
      <c r="J96" s="53"/>
      <c r="K96" s="53"/>
      <c r="L96" s="53"/>
      <c r="M96" s="53"/>
      <c r="N96" s="53"/>
    </row>
    <row r="97" spans="1:14" x14ac:dyDescent="0.4">
      <c r="A97" s="2"/>
      <c r="B97" s="394" t="s">
        <v>76</v>
      </c>
      <c r="C97" s="21" t="s">
        <v>1471</v>
      </c>
      <c r="D97" s="97">
        <v>0.19159999999999999</v>
      </c>
      <c r="E97" s="52" t="s">
        <v>83</v>
      </c>
      <c r="F97" s="52" t="s">
        <v>83</v>
      </c>
      <c r="G97" s="52" t="s">
        <v>83</v>
      </c>
      <c r="H97" s="53"/>
      <c r="I97" s="53"/>
      <c r="J97" s="53"/>
      <c r="K97" s="53"/>
      <c r="L97" s="53"/>
      <c r="M97" s="53"/>
      <c r="N97" s="53"/>
    </row>
    <row r="98" spans="1:14" x14ac:dyDescent="0.4">
      <c r="A98" s="2"/>
      <c r="B98" s="394"/>
      <c r="C98" s="3" t="s">
        <v>73</v>
      </c>
      <c r="D98" s="65"/>
      <c r="E98" s="52" t="s">
        <v>83</v>
      </c>
      <c r="F98" s="52" t="s">
        <v>83</v>
      </c>
      <c r="G98" s="52" t="s">
        <v>83</v>
      </c>
      <c r="H98" s="53"/>
      <c r="I98" s="53"/>
      <c r="J98" s="53"/>
      <c r="K98" s="53"/>
      <c r="L98" s="53"/>
      <c r="M98" s="53"/>
      <c r="N98" s="53"/>
    </row>
    <row r="99" spans="1:14" x14ac:dyDescent="0.4">
      <c r="A99" s="2"/>
      <c r="B99" s="394"/>
      <c r="C99" s="48" t="s">
        <v>1467</v>
      </c>
      <c r="D99" s="97">
        <v>7.2999999999999995E-2</v>
      </c>
      <c r="E99" s="52" t="s">
        <v>83</v>
      </c>
      <c r="F99" s="52" t="s">
        <v>83</v>
      </c>
      <c r="G99" s="52" t="s">
        <v>83</v>
      </c>
      <c r="H99" s="53"/>
      <c r="I99" s="53"/>
      <c r="J99" s="53"/>
      <c r="K99" s="53"/>
      <c r="L99" s="53"/>
      <c r="M99" s="53"/>
      <c r="N99" s="53"/>
    </row>
    <row r="100" spans="1:14" x14ac:dyDescent="0.4">
      <c r="A100" s="2"/>
      <c r="B100" s="394"/>
      <c r="C100" s="48" t="s">
        <v>1468</v>
      </c>
      <c r="D100" s="343">
        <v>0.1343</v>
      </c>
      <c r="E100" s="52" t="s">
        <v>83</v>
      </c>
      <c r="F100" s="52" t="s">
        <v>83</v>
      </c>
      <c r="G100" s="52" t="s">
        <v>83</v>
      </c>
      <c r="H100" s="53"/>
      <c r="I100" s="53"/>
      <c r="J100" s="53"/>
      <c r="K100" s="53"/>
      <c r="L100" s="53"/>
      <c r="M100" s="53"/>
      <c r="N100" s="53"/>
    </row>
    <row r="101" spans="1:14" x14ac:dyDescent="0.4">
      <c r="A101" s="2"/>
      <c r="B101" s="394"/>
      <c r="C101" s="48" t="s">
        <v>1469</v>
      </c>
      <c r="D101" s="97">
        <v>0.2351</v>
      </c>
      <c r="E101" s="52"/>
      <c r="F101" s="52"/>
      <c r="G101" s="52"/>
      <c r="H101" s="53"/>
      <c r="I101" s="53"/>
      <c r="J101" s="53"/>
      <c r="K101" s="53"/>
      <c r="L101" s="53"/>
      <c r="M101" s="53"/>
      <c r="N101" s="53"/>
    </row>
    <row r="102" spans="1:14" x14ac:dyDescent="0.4">
      <c r="A102" s="2"/>
      <c r="B102" s="394"/>
      <c r="C102" s="3" t="s">
        <v>74</v>
      </c>
      <c r="D102" s="344">
        <f>(D99+D100+D101)/3</f>
        <v>0.14746666666666666</v>
      </c>
      <c r="E102" s="52" t="s">
        <v>83</v>
      </c>
      <c r="F102" s="52" t="s">
        <v>83</v>
      </c>
      <c r="G102" s="52" t="s">
        <v>83</v>
      </c>
      <c r="H102" s="53"/>
      <c r="I102" s="53"/>
      <c r="J102" s="53"/>
      <c r="K102" s="57"/>
      <c r="L102" s="53"/>
      <c r="M102" s="53"/>
      <c r="N102" s="53"/>
    </row>
    <row r="103" spans="1:14" x14ac:dyDescent="0.4">
      <c r="A103" s="2"/>
      <c r="B103" s="58" t="s">
        <v>77</v>
      </c>
      <c r="C103" s="3" t="s">
        <v>1472</v>
      </c>
      <c r="D103" s="65">
        <v>28.86</v>
      </c>
      <c r="E103" s="52" t="s">
        <v>83</v>
      </c>
      <c r="F103" s="52" t="s">
        <v>83</v>
      </c>
      <c r="G103" s="52" t="s">
        <v>83</v>
      </c>
      <c r="H103" s="53"/>
      <c r="I103" s="53"/>
      <c r="J103" s="53"/>
      <c r="K103" s="53"/>
      <c r="L103" s="53"/>
      <c r="M103" s="53"/>
      <c r="N103" s="53"/>
    </row>
    <row r="104" spans="1:14" x14ac:dyDescent="0.4">
      <c r="A104" s="2"/>
      <c r="B104" s="60"/>
      <c r="C104" s="3" t="s">
        <v>73</v>
      </c>
      <c r="D104" s="65"/>
      <c r="E104" s="52" t="s">
        <v>83</v>
      </c>
      <c r="F104" s="52" t="s">
        <v>83</v>
      </c>
      <c r="G104" s="52" t="s">
        <v>83</v>
      </c>
      <c r="H104" s="53"/>
      <c r="I104" s="53"/>
      <c r="J104" s="53"/>
      <c r="K104" s="53"/>
      <c r="L104" s="53"/>
      <c r="M104" s="53"/>
      <c r="N104" s="53"/>
    </row>
    <row r="105" spans="1:14" x14ac:dyDescent="0.4">
      <c r="A105" s="2"/>
      <c r="B105" s="60"/>
      <c r="C105" s="48" t="s">
        <v>1467</v>
      </c>
      <c r="D105" s="65">
        <v>86.44</v>
      </c>
      <c r="E105" s="52" t="s">
        <v>83</v>
      </c>
      <c r="F105" s="52" t="s">
        <v>83</v>
      </c>
      <c r="G105" s="52" t="s">
        <v>83</v>
      </c>
      <c r="H105" s="53"/>
      <c r="I105" s="53"/>
      <c r="J105" s="53"/>
      <c r="K105" s="53"/>
      <c r="L105" s="53"/>
      <c r="M105" s="53"/>
      <c r="N105" s="53"/>
    </row>
    <row r="106" spans="1:14" x14ac:dyDescent="0.4">
      <c r="A106" s="2"/>
      <c r="B106" s="60"/>
      <c r="C106" s="48" t="s">
        <v>1468</v>
      </c>
      <c r="D106" s="65">
        <v>90.54</v>
      </c>
      <c r="E106" s="52" t="s">
        <v>83</v>
      </c>
      <c r="F106" s="52" t="s">
        <v>83</v>
      </c>
      <c r="G106" s="52" t="s">
        <v>83</v>
      </c>
      <c r="H106" s="53"/>
      <c r="I106" s="53"/>
      <c r="J106" s="53"/>
      <c r="K106" s="53"/>
      <c r="L106" s="53"/>
      <c r="M106" s="53"/>
      <c r="N106" s="53"/>
    </row>
    <row r="107" spans="1:14" x14ac:dyDescent="0.4">
      <c r="A107" s="2"/>
      <c r="B107" s="60"/>
      <c r="C107" s="48" t="s">
        <v>1469</v>
      </c>
      <c r="D107" s="65">
        <v>6.96</v>
      </c>
      <c r="E107" s="52"/>
      <c r="F107" s="52"/>
      <c r="G107" s="52"/>
      <c r="H107" s="53"/>
      <c r="I107" s="53"/>
      <c r="J107" s="53"/>
      <c r="K107" s="53"/>
      <c r="L107" s="53"/>
      <c r="M107" s="53"/>
      <c r="N107" s="53"/>
    </row>
    <row r="108" spans="1:14" x14ac:dyDescent="0.4">
      <c r="A108" s="2"/>
      <c r="B108" s="60"/>
      <c r="C108" s="3" t="s">
        <v>74</v>
      </c>
      <c r="D108" s="342">
        <f>(D105+D106+D107)/3</f>
        <v>61.31333333333334</v>
      </c>
      <c r="E108" s="52" t="s">
        <v>83</v>
      </c>
      <c r="F108" s="52" t="s">
        <v>83</v>
      </c>
      <c r="G108" s="52" t="s">
        <v>83</v>
      </c>
      <c r="H108" s="53"/>
      <c r="I108" s="53"/>
      <c r="J108" s="53"/>
      <c r="K108" s="53"/>
      <c r="L108" s="53"/>
      <c r="M108" s="53"/>
      <c r="N108" s="53"/>
    </row>
    <row r="109" spans="1:14" ht="14.35" customHeight="1" x14ac:dyDescent="0.4">
      <c r="A109" s="2"/>
      <c r="B109" s="415" t="s">
        <v>1473</v>
      </c>
      <c r="C109" s="416"/>
      <c r="D109" s="416"/>
      <c r="E109" s="416"/>
      <c r="F109" s="416"/>
      <c r="G109" s="417"/>
      <c r="H109" s="53"/>
      <c r="I109" s="53"/>
      <c r="J109" s="53"/>
      <c r="K109" s="53"/>
      <c r="L109" s="53"/>
      <c r="M109" s="53"/>
      <c r="N109" s="53"/>
    </row>
    <row r="110" spans="1:14" ht="14.35" customHeight="1" x14ac:dyDescent="0.4">
      <c r="A110" s="2"/>
      <c r="B110" s="626" t="s">
        <v>85</v>
      </c>
      <c r="C110" s="627"/>
      <c r="D110" s="627"/>
      <c r="E110" s="627"/>
      <c r="F110" s="627"/>
      <c r="G110" s="628"/>
      <c r="H110" s="53"/>
      <c r="I110" s="53"/>
      <c r="J110" s="53"/>
      <c r="K110" s="53"/>
      <c r="L110" s="53"/>
      <c r="M110" s="53"/>
      <c r="N110" s="53"/>
    </row>
    <row r="111" spans="1:14" x14ac:dyDescent="0.4">
      <c r="A111" s="2"/>
      <c r="B111" s="363"/>
      <c r="C111" s="368"/>
      <c r="D111" s="368"/>
      <c r="E111" s="368"/>
      <c r="F111" s="368"/>
      <c r="G111" s="369"/>
      <c r="H111" s="53"/>
      <c r="I111" s="53"/>
      <c r="J111" s="53"/>
      <c r="K111" s="53"/>
      <c r="L111" s="53"/>
      <c r="M111" s="53"/>
      <c r="N111" s="53"/>
    </row>
    <row r="112" spans="1:14" x14ac:dyDescent="0.4">
      <c r="C112" s="407"/>
      <c r="D112" s="407"/>
      <c r="E112" s="407"/>
      <c r="F112" s="407"/>
      <c r="G112" s="407"/>
      <c r="H112" s="53"/>
      <c r="I112" s="53"/>
    </row>
    <row r="113" spans="1:8" x14ac:dyDescent="0.4">
      <c r="A113" s="9">
        <v>14</v>
      </c>
      <c r="B113" s="61" t="s">
        <v>78</v>
      </c>
      <c r="C113" s="356" t="s">
        <v>13</v>
      </c>
      <c r="D113" s="357"/>
      <c r="E113" s="357"/>
      <c r="F113" s="357"/>
      <c r="G113" s="408"/>
    </row>
    <row r="114" spans="1:8" x14ac:dyDescent="0.4">
      <c r="A114" s="23"/>
      <c r="C114" s="69"/>
      <c r="D114" s="69"/>
      <c r="E114" s="69"/>
      <c r="F114" s="69"/>
      <c r="G114" s="69"/>
    </row>
    <row r="115" spans="1:8" x14ac:dyDescent="0.4">
      <c r="B115" s="409" t="s">
        <v>1474</v>
      </c>
      <c r="C115" s="410"/>
      <c r="D115" s="410"/>
      <c r="E115" s="410"/>
      <c r="F115" s="410"/>
      <c r="G115" s="410"/>
      <c r="H115" s="410"/>
    </row>
  </sheetData>
  <sheetProtection algorithmName="SHA-512" hashValue="V4p0IDoSnjLkkbcls6bQePYZY86Qe9y0KlO+22/SqF4Vav1c9LpvNfnvjpQkzOLT2kP524IC67CVQusUVxOz5g==" saltValue="XI7k/6i8tBrxvK4Y+jFFyw==" spinCount="100000" sheet="1" formatCells="0" formatColumns="0" formatRows="0" insertColumns="0" insertRows="0" insertHyperlinks="0" deleteColumns="0" deleteRows="0" sort="0" autoFilter="0" pivotTables="0"/>
  <mergeCells count="58">
    <mergeCell ref="B115:H115"/>
    <mergeCell ref="B97:B102"/>
    <mergeCell ref="B109:G109"/>
    <mergeCell ref="B110:G110"/>
    <mergeCell ref="B111:G111"/>
    <mergeCell ref="C112:G112"/>
    <mergeCell ref="C113:G113"/>
    <mergeCell ref="B91:B96"/>
    <mergeCell ref="F70:H70"/>
    <mergeCell ref="I70:K70"/>
    <mergeCell ref="L70:N70"/>
    <mergeCell ref="B75:N75"/>
    <mergeCell ref="B76:N76"/>
    <mergeCell ref="B77:N77"/>
    <mergeCell ref="B78:N78"/>
    <mergeCell ref="B79:N79"/>
    <mergeCell ref="B80:N80"/>
    <mergeCell ref="B85:B90"/>
    <mergeCell ref="C82:N82"/>
    <mergeCell ref="C74:N74"/>
    <mergeCell ref="C59:E59"/>
    <mergeCell ref="C60:E60"/>
    <mergeCell ref="B61:E61"/>
    <mergeCell ref="C64:E64"/>
    <mergeCell ref="B70:B71"/>
    <mergeCell ref="C70:C71"/>
    <mergeCell ref="D70:D71"/>
    <mergeCell ref="E70:E71"/>
    <mergeCell ref="B48:E48"/>
    <mergeCell ref="B53:E53"/>
    <mergeCell ref="B55:E55"/>
    <mergeCell ref="B56:B58"/>
    <mergeCell ref="C56:E56"/>
    <mergeCell ref="C57:E57"/>
    <mergeCell ref="B46:E46"/>
    <mergeCell ref="C22:E22"/>
    <mergeCell ref="B23:E23"/>
    <mergeCell ref="B26:E26"/>
    <mergeCell ref="B27:E27"/>
    <mergeCell ref="B33:E33"/>
    <mergeCell ref="B35:E35"/>
    <mergeCell ref="B39:C39"/>
    <mergeCell ref="B42:E42"/>
    <mergeCell ref="C43:E43"/>
    <mergeCell ref="C44:E44"/>
    <mergeCell ref="C45:E45"/>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paperSize="8" scale="71" orientation="landscape" verticalDpi="0" r:id="rId1"/>
  <rowBreaks count="1" manualBreakCount="1">
    <brk id="55"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12"/>
  <sheetViews>
    <sheetView topLeftCell="D46"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ht="19.25" customHeight="1" x14ac:dyDescent="0.4">
      <c r="A3" s="2" t="s">
        <v>1</v>
      </c>
      <c r="B3" s="3" t="s">
        <v>2</v>
      </c>
      <c r="C3" s="4" t="s">
        <v>224</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225</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226</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227</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732</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202</v>
      </c>
      <c r="D28" s="18" t="s">
        <v>22</v>
      </c>
      <c r="E28" s="18" t="s">
        <v>23</v>
      </c>
      <c r="F28" s="15"/>
    </row>
    <row r="29" spans="1:14" ht="12.7" customHeight="1" x14ac:dyDescent="0.4">
      <c r="A29" s="9"/>
      <c r="B29" s="19" t="s">
        <v>24</v>
      </c>
      <c r="C29" s="20">
        <v>7866.09</v>
      </c>
      <c r="D29" s="20">
        <v>8991.51</v>
      </c>
      <c r="E29" s="113">
        <v>11629.47</v>
      </c>
      <c r="F29" s="15" t="s">
        <v>681</v>
      </c>
    </row>
    <row r="30" spans="1:14" x14ac:dyDescent="0.4">
      <c r="A30" s="9"/>
      <c r="B30" s="19" t="s">
        <v>25</v>
      </c>
      <c r="C30" s="20">
        <v>1172.8900000000001</v>
      </c>
      <c r="D30" s="20">
        <v>511.41</v>
      </c>
      <c r="E30" s="113">
        <v>1212.3</v>
      </c>
      <c r="F30" s="15"/>
    </row>
    <row r="31" spans="1:14" x14ac:dyDescent="0.4">
      <c r="A31" s="9"/>
      <c r="B31" s="19" t="s">
        <v>26</v>
      </c>
      <c r="C31" s="20">
        <v>2190.67</v>
      </c>
      <c r="D31" s="20">
        <v>2190.67</v>
      </c>
      <c r="E31" s="113">
        <v>2190.67</v>
      </c>
      <c r="F31" s="15"/>
    </row>
    <row r="32" spans="1:14" x14ac:dyDescent="0.4">
      <c r="A32" s="9"/>
      <c r="B32" s="19" t="s">
        <v>27</v>
      </c>
      <c r="C32" s="20">
        <v>5529.59</v>
      </c>
      <c r="D32" s="20">
        <v>8384.6</v>
      </c>
      <c r="E32" s="113">
        <v>7026.39</v>
      </c>
      <c r="F32" s="15"/>
    </row>
    <row r="33" spans="1:10" x14ac:dyDescent="0.4">
      <c r="A33" s="9"/>
      <c r="B33" s="363" t="s">
        <v>228</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13</v>
      </c>
      <c r="D44" s="374"/>
      <c r="E44" s="375"/>
      <c r="F44" s="13"/>
    </row>
    <row r="45" spans="1:10" ht="26.3" customHeight="1" x14ac:dyDescent="0.4">
      <c r="A45" s="9"/>
      <c r="B45" s="17" t="s">
        <v>32</v>
      </c>
      <c r="C45" s="373" t="s">
        <v>733</v>
      </c>
      <c r="D45" s="374"/>
      <c r="E45" s="375"/>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4" ht="25.65" x14ac:dyDescent="0.4">
      <c r="A49" s="24"/>
      <c r="B49" s="26" t="s">
        <v>37</v>
      </c>
      <c r="C49" s="27" t="s">
        <v>38</v>
      </c>
      <c r="D49" s="28" t="s">
        <v>39</v>
      </c>
      <c r="E49" s="27" t="s">
        <v>40</v>
      </c>
    </row>
    <row r="50" spans="1:14" x14ac:dyDescent="0.4">
      <c r="A50" s="29"/>
      <c r="B50" s="377" t="s">
        <v>97</v>
      </c>
      <c r="C50" s="378"/>
      <c r="D50" s="378"/>
      <c r="E50" s="379"/>
    </row>
    <row r="51" spans="1:14" x14ac:dyDescent="0.4">
      <c r="A51" s="31"/>
      <c r="B51" s="380"/>
      <c r="C51" s="381"/>
      <c r="D51" s="381"/>
      <c r="E51" s="382"/>
      <c r="F51" s="15"/>
      <c r="G51" s="15"/>
      <c r="H51" s="15"/>
    </row>
    <row r="52" spans="1:14" x14ac:dyDescent="0.4">
      <c r="A52" s="32"/>
      <c r="B52" s="62"/>
      <c r="C52" s="23"/>
      <c r="D52" s="23"/>
      <c r="E52" s="23"/>
      <c r="F52" s="15"/>
      <c r="G52" s="15"/>
      <c r="H52" s="15"/>
      <c r="I52" s="15"/>
    </row>
    <row r="53" spans="1:14" x14ac:dyDescent="0.4">
      <c r="A53" s="24">
        <v>10</v>
      </c>
      <c r="B53" s="376" t="s">
        <v>36</v>
      </c>
      <c r="C53" s="365"/>
      <c r="D53" s="365"/>
      <c r="E53" s="365"/>
      <c r="F53" s="15"/>
      <c r="G53" s="15"/>
      <c r="H53" s="15"/>
    </row>
    <row r="54" spans="1:14" x14ac:dyDescent="0.4">
      <c r="A54" s="29"/>
      <c r="B54" s="383" t="s">
        <v>43</v>
      </c>
      <c r="C54" s="385" t="s">
        <v>97</v>
      </c>
      <c r="D54" s="386"/>
      <c r="E54" s="387"/>
      <c r="K54" s="1"/>
    </row>
    <row r="55" spans="1:14" x14ac:dyDescent="0.4">
      <c r="A55" s="29"/>
      <c r="B55" s="384"/>
      <c r="C55" s="388"/>
      <c r="D55" s="389"/>
      <c r="E55" s="390"/>
      <c r="K55" s="1"/>
    </row>
    <row r="56" spans="1:14" x14ac:dyDescent="0.4">
      <c r="A56" s="24"/>
      <c r="B56" s="33" t="s">
        <v>44</v>
      </c>
      <c r="C56" s="391" t="s">
        <v>46</v>
      </c>
      <c r="D56" s="391"/>
      <c r="E56" s="391"/>
    </row>
    <row r="57" spans="1:14" x14ac:dyDescent="0.4">
      <c r="A57" s="29"/>
      <c r="B57" s="33" t="s">
        <v>45</v>
      </c>
      <c r="C57" s="391" t="s">
        <v>46</v>
      </c>
      <c r="D57" s="391"/>
      <c r="E57" s="391"/>
      <c r="K57" s="34"/>
    </row>
    <row r="58" spans="1:14" s="63" customFormat="1" x14ac:dyDescent="0.35">
      <c r="A58" s="35" t="s">
        <v>47</v>
      </c>
      <c r="B58" s="392" t="s">
        <v>48</v>
      </c>
      <c r="C58" s="392"/>
      <c r="D58" s="392"/>
      <c r="E58" s="392"/>
    </row>
    <row r="59" spans="1:14" x14ac:dyDescent="0.4">
      <c r="A59" s="36"/>
      <c r="B59" s="2"/>
      <c r="C59" s="37"/>
      <c r="D59" s="38"/>
      <c r="E59" s="39"/>
      <c r="F59" s="34"/>
      <c r="G59" s="34"/>
      <c r="H59" s="34"/>
      <c r="I59" s="34"/>
      <c r="J59" s="34"/>
      <c r="K59" s="34"/>
      <c r="L59" s="34"/>
    </row>
    <row r="60" spans="1:14" x14ac:dyDescent="0.4">
      <c r="A60" s="40"/>
      <c r="B60" s="41"/>
      <c r="C60" s="42"/>
      <c r="D60" s="42"/>
      <c r="E60" s="42"/>
      <c r="F60" s="42"/>
    </row>
    <row r="61" spans="1:14" x14ac:dyDescent="0.4">
      <c r="A61" s="9">
        <v>11</v>
      </c>
      <c r="B61" s="3" t="s">
        <v>49</v>
      </c>
      <c r="C61" s="393" t="s">
        <v>50</v>
      </c>
      <c r="D61" s="393"/>
      <c r="E61" s="393"/>
      <c r="F61" s="11"/>
      <c r="G61" s="11"/>
      <c r="H61" s="43"/>
      <c r="I61" s="11"/>
      <c r="J61" s="11"/>
    </row>
    <row r="62" spans="1:14" x14ac:dyDescent="0.4">
      <c r="A62" s="9"/>
      <c r="B62" s="15"/>
      <c r="C62" s="15"/>
      <c r="D62" s="15"/>
      <c r="E62" s="15"/>
      <c r="F62" s="15"/>
      <c r="G62" s="15"/>
      <c r="H62" s="44"/>
      <c r="I62" s="44"/>
      <c r="J62" s="15"/>
    </row>
    <row r="63" spans="1:14" x14ac:dyDescent="0.4">
      <c r="A63" s="9">
        <v>12</v>
      </c>
      <c r="B63" s="11" t="s">
        <v>51</v>
      </c>
      <c r="C63" s="11"/>
      <c r="D63" s="11"/>
      <c r="E63" s="11"/>
      <c r="F63" s="11"/>
      <c r="G63" s="11"/>
      <c r="H63" s="11"/>
      <c r="I63" s="11"/>
      <c r="J63" s="11"/>
      <c r="K63" s="11"/>
      <c r="L63" s="11"/>
      <c r="M63" s="11"/>
      <c r="N63" s="11"/>
    </row>
    <row r="64" spans="1:14" x14ac:dyDescent="0.4">
      <c r="A64" s="9"/>
      <c r="B64" s="11"/>
      <c r="C64" s="11"/>
      <c r="D64" s="11"/>
      <c r="E64" s="11"/>
      <c r="F64" s="11"/>
      <c r="G64" s="11"/>
      <c r="H64" s="11"/>
      <c r="I64" s="11"/>
      <c r="J64" s="11"/>
      <c r="K64" s="11"/>
      <c r="L64" s="11"/>
      <c r="M64" s="11"/>
      <c r="N64" s="11"/>
    </row>
    <row r="65" spans="1:14" x14ac:dyDescent="0.4">
      <c r="A65" s="9"/>
      <c r="B65" s="17" t="s">
        <v>52</v>
      </c>
      <c r="C65" s="19" t="s">
        <v>229</v>
      </c>
      <c r="D65" s="15"/>
      <c r="E65" s="15"/>
      <c r="F65" s="44"/>
      <c r="G65" s="44"/>
      <c r="H65" s="15"/>
      <c r="I65" s="15"/>
      <c r="J65" s="15"/>
      <c r="K65" s="15"/>
      <c r="L65" s="15"/>
      <c r="M65" s="15"/>
      <c r="N65" s="15"/>
    </row>
    <row r="66" spans="1:14" x14ac:dyDescent="0.4">
      <c r="A66" s="9"/>
      <c r="B66" s="15"/>
      <c r="C66" s="15"/>
      <c r="D66" s="15"/>
      <c r="E66" s="15"/>
      <c r="F66" s="15"/>
      <c r="G66" s="15"/>
      <c r="H66" s="15"/>
      <c r="I66" s="15"/>
      <c r="J66" s="15"/>
      <c r="K66" s="15"/>
      <c r="L66" s="15"/>
      <c r="M66" s="15"/>
      <c r="N66" s="15"/>
    </row>
    <row r="67" spans="1:14" x14ac:dyDescent="0.4">
      <c r="A67" s="9"/>
      <c r="B67" s="365" t="s">
        <v>53</v>
      </c>
      <c r="C67" s="366" t="s">
        <v>230</v>
      </c>
      <c r="D67" s="366" t="s">
        <v>231</v>
      </c>
      <c r="E67" s="403" t="s">
        <v>232</v>
      </c>
      <c r="F67" s="395" t="s">
        <v>54</v>
      </c>
      <c r="G67" s="396"/>
      <c r="H67" s="397"/>
      <c r="I67" s="398" t="s">
        <v>55</v>
      </c>
      <c r="J67" s="398"/>
      <c r="K67" s="398"/>
      <c r="L67" s="398" t="s">
        <v>56</v>
      </c>
      <c r="M67" s="398"/>
      <c r="N67" s="398"/>
    </row>
    <row r="68" spans="1:14" ht="38.450000000000003" x14ac:dyDescent="0.4">
      <c r="A68" s="2"/>
      <c r="B68" s="365"/>
      <c r="C68" s="402"/>
      <c r="D68" s="402"/>
      <c r="E68" s="404"/>
      <c r="F68" s="17" t="s">
        <v>57</v>
      </c>
      <c r="G68" s="17" t="s">
        <v>58</v>
      </c>
      <c r="H68" s="17" t="s">
        <v>59</v>
      </c>
      <c r="I68" s="17" t="s">
        <v>60</v>
      </c>
      <c r="J68" s="17" t="s">
        <v>58</v>
      </c>
      <c r="K68" s="17" t="s">
        <v>59</v>
      </c>
      <c r="L68" s="17" t="s">
        <v>60</v>
      </c>
      <c r="M68" s="17" t="s">
        <v>58</v>
      </c>
      <c r="N68" s="17" t="s">
        <v>59</v>
      </c>
    </row>
    <row r="69" spans="1:14" ht="14.15" x14ac:dyDescent="0.4">
      <c r="A69" s="2"/>
      <c r="B69" s="17" t="s">
        <v>103</v>
      </c>
      <c r="C69" s="123">
        <v>28.8</v>
      </c>
      <c r="D69" s="55">
        <v>36.25</v>
      </c>
      <c r="E69" s="89">
        <v>41.1</v>
      </c>
      <c r="F69" s="55">
        <v>51.1</v>
      </c>
      <c r="G69" s="55">
        <v>52.75</v>
      </c>
      <c r="H69" s="55">
        <v>26</v>
      </c>
      <c r="I69" s="45">
        <v>43</v>
      </c>
      <c r="J69" s="45">
        <v>79.8</v>
      </c>
      <c r="K69" s="45">
        <v>42</v>
      </c>
      <c r="L69" s="45">
        <v>56</v>
      </c>
      <c r="M69" s="45">
        <v>64.95</v>
      </c>
      <c r="N69" s="45">
        <v>41</v>
      </c>
    </row>
    <row r="70" spans="1:14" ht="25.65" x14ac:dyDescent="0.35">
      <c r="A70" s="2"/>
      <c r="B70" s="17" t="s">
        <v>104</v>
      </c>
      <c r="C70" s="123">
        <v>8715.6</v>
      </c>
      <c r="D70" s="123">
        <v>8573.35</v>
      </c>
      <c r="E70" s="55">
        <v>8261.75</v>
      </c>
      <c r="F70" s="55">
        <v>9143.7999999999993</v>
      </c>
      <c r="G70" s="55">
        <v>9108</v>
      </c>
      <c r="H70" s="55">
        <v>8715.6</v>
      </c>
      <c r="I70" s="46">
        <v>10113.700000000001</v>
      </c>
      <c r="J70" s="46">
        <v>11171.55</v>
      </c>
      <c r="K70" s="48">
        <v>9075.15</v>
      </c>
      <c r="L70" s="45">
        <v>11623.9</v>
      </c>
      <c r="M70" s="45">
        <v>11760.2</v>
      </c>
      <c r="N70" s="45">
        <v>10127.75</v>
      </c>
    </row>
    <row r="71" spans="1:14" x14ac:dyDescent="0.4">
      <c r="A71" s="2"/>
      <c r="B71" s="399" t="s">
        <v>233</v>
      </c>
      <c r="C71" s="400"/>
      <c r="D71" s="400"/>
      <c r="E71" s="400"/>
      <c r="F71" s="399"/>
      <c r="G71" s="399"/>
      <c r="H71" s="399"/>
      <c r="I71" s="399"/>
      <c r="J71" s="399"/>
      <c r="K71" s="399"/>
      <c r="L71" s="399"/>
      <c r="M71" s="399"/>
      <c r="N71" s="399"/>
    </row>
    <row r="72" spans="1:14" x14ac:dyDescent="0.4">
      <c r="A72" s="2"/>
      <c r="B72" s="401" t="s">
        <v>94</v>
      </c>
      <c r="C72" s="401"/>
      <c r="D72" s="401"/>
      <c r="E72" s="401"/>
      <c r="F72" s="401"/>
      <c r="G72" s="401"/>
      <c r="H72" s="401"/>
      <c r="I72" s="401"/>
      <c r="J72" s="401"/>
      <c r="K72" s="401"/>
      <c r="L72" s="401"/>
      <c r="M72" s="401"/>
      <c r="N72" s="401"/>
    </row>
    <row r="73" spans="1:14" x14ac:dyDescent="0.4">
      <c r="A73" s="2"/>
      <c r="B73" s="359" t="s">
        <v>63</v>
      </c>
      <c r="C73" s="359"/>
      <c r="D73" s="359"/>
      <c r="E73" s="359"/>
      <c r="F73" s="359"/>
      <c r="G73" s="359"/>
      <c r="H73" s="359"/>
      <c r="I73" s="359"/>
      <c r="J73" s="359"/>
      <c r="K73" s="359"/>
      <c r="L73" s="359"/>
      <c r="M73" s="359"/>
      <c r="N73" s="359"/>
    </row>
    <row r="74" spans="1:14" s="1" customFormat="1" x14ac:dyDescent="0.4">
      <c r="B74" s="359" t="s">
        <v>64</v>
      </c>
      <c r="C74" s="359"/>
      <c r="D74" s="359"/>
      <c r="E74" s="359"/>
      <c r="F74" s="359"/>
      <c r="G74" s="359"/>
      <c r="H74" s="359"/>
      <c r="I74" s="359"/>
      <c r="J74" s="359"/>
      <c r="K74" s="359"/>
      <c r="L74" s="359"/>
      <c r="M74" s="359"/>
      <c r="N74" s="359"/>
    </row>
    <row r="75" spans="1:14" x14ac:dyDescent="0.4">
      <c r="A75" s="2"/>
      <c r="B75" s="359" t="s">
        <v>80</v>
      </c>
      <c r="C75" s="359"/>
      <c r="D75" s="359"/>
      <c r="E75" s="359"/>
      <c r="F75" s="359"/>
      <c r="G75" s="359"/>
      <c r="H75" s="359"/>
      <c r="I75" s="359"/>
      <c r="J75" s="359"/>
      <c r="K75" s="359"/>
      <c r="L75" s="359"/>
      <c r="M75" s="359"/>
      <c r="N75" s="359"/>
    </row>
    <row r="76" spans="1:14" x14ac:dyDescent="0.4">
      <c r="A76" s="2"/>
      <c r="B76" s="359" t="s">
        <v>65</v>
      </c>
      <c r="C76" s="359"/>
      <c r="D76" s="359"/>
      <c r="E76" s="359"/>
      <c r="F76" s="359"/>
      <c r="G76" s="359"/>
      <c r="H76" s="359"/>
      <c r="I76" s="359"/>
      <c r="J76" s="359"/>
      <c r="K76" s="359"/>
      <c r="L76" s="359"/>
      <c r="M76" s="359"/>
      <c r="N76" s="359"/>
    </row>
    <row r="77" spans="1:14" x14ac:dyDescent="0.4">
      <c r="A77" s="2"/>
      <c r="B77" s="49"/>
      <c r="C77" s="49"/>
      <c r="D77" s="49"/>
      <c r="E77" s="49"/>
      <c r="F77" s="49"/>
      <c r="G77" s="13"/>
      <c r="H77" s="13"/>
      <c r="I77" s="13"/>
      <c r="J77" s="13"/>
      <c r="K77" s="13"/>
      <c r="L77" s="13"/>
      <c r="M77" s="13"/>
      <c r="N77" s="13"/>
    </row>
    <row r="78" spans="1:14" x14ac:dyDescent="0.4">
      <c r="A78" s="9">
        <v>13</v>
      </c>
      <c r="B78" s="405" t="s">
        <v>66</v>
      </c>
      <c r="C78" s="406"/>
      <c r="D78" s="406"/>
      <c r="E78" s="406"/>
      <c r="F78" s="406"/>
      <c r="G78" s="376"/>
      <c r="H78" s="11"/>
      <c r="I78" s="11"/>
      <c r="J78" s="11"/>
      <c r="K78" s="11"/>
      <c r="L78" s="11"/>
      <c r="M78" s="11"/>
      <c r="N78" s="11"/>
    </row>
    <row r="79" spans="1:14" x14ac:dyDescent="0.4">
      <c r="A79" s="9"/>
      <c r="C79" s="15"/>
      <c r="D79" s="15"/>
      <c r="E79" s="15"/>
      <c r="F79" s="15"/>
      <c r="G79" s="15"/>
      <c r="H79" s="15"/>
      <c r="I79" s="15"/>
      <c r="J79" s="15"/>
      <c r="K79" s="15"/>
      <c r="L79" s="15"/>
      <c r="M79" s="15"/>
      <c r="N79" s="15"/>
    </row>
    <row r="80" spans="1:14" ht="102.5" x14ac:dyDescent="0.4">
      <c r="A80" s="2"/>
      <c r="B80" s="50" t="s">
        <v>67</v>
      </c>
      <c r="C80" s="18" t="s">
        <v>68</v>
      </c>
      <c r="D80" s="18" t="s">
        <v>69</v>
      </c>
      <c r="E80" s="18" t="s">
        <v>218</v>
      </c>
      <c r="F80" s="18" t="s">
        <v>71</v>
      </c>
      <c r="G80" s="18" t="s">
        <v>107</v>
      </c>
      <c r="H80" s="13"/>
      <c r="I80" s="13"/>
      <c r="J80" s="13"/>
      <c r="K80" s="13"/>
      <c r="L80" s="13"/>
      <c r="M80" s="13"/>
      <c r="N80" s="13"/>
    </row>
    <row r="81" spans="1:14" ht="12.7" customHeight="1" x14ac:dyDescent="0.35">
      <c r="A81" s="2"/>
      <c r="B81" s="394" t="s">
        <v>72</v>
      </c>
      <c r="C81" s="3" t="s">
        <v>234</v>
      </c>
      <c r="D81" s="65">
        <v>4.79</v>
      </c>
      <c r="E81" s="66">
        <v>5.35</v>
      </c>
      <c r="F81" s="66">
        <v>2.33</v>
      </c>
      <c r="G81" s="21">
        <v>5.53</v>
      </c>
      <c r="H81" s="53"/>
      <c r="I81" s="53"/>
      <c r="J81" s="53"/>
      <c r="K81" s="53"/>
      <c r="L81" s="53"/>
      <c r="M81" s="53"/>
      <c r="N81" s="53"/>
    </row>
    <row r="82" spans="1:14" x14ac:dyDescent="0.4">
      <c r="A82" s="2"/>
      <c r="B82" s="394"/>
      <c r="C82" s="3" t="s">
        <v>109</v>
      </c>
      <c r="D82" s="76" t="s">
        <v>84</v>
      </c>
      <c r="E82" s="66"/>
      <c r="F82" s="66"/>
      <c r="G82" s="21"/>
      <c r="H82" s="53"/>
      <c r="I82" s="53"/>
      <c r="J82" s="53"/>
      <c r="K82" s="53"/>
      <c r="L82" s="53"/>
      <c r="M82" s="53"/>
      <c r="N82" s="53"/>
    </row>
    <row r="83" spans="1:14" x14ac:dyDescent="0.4">
      <c r="A83" s="2"/>
      <c r="B83" s="394"/>
      <c r="C83" s="21" t="s">
        <v>235</v>
      </c>
      <c r="D83" s="54">
        <v>-5.52</v>
      </c>
      <c r="E83" s="66">
        <v>4.66</v>
      </c>
      <c r="F83" s="66">
        <v>3.06</v>
      </c>
      <c r="G83" s="21">
        <v>10.91</v>
      </c>
      <c r="H83" s="53"/>
      <c r="I83" s="53"/>
      <c r="J83" s="53"/>
      <c r="K83" s="53"/>
      <c r="L83" s="53"/>
      <c r="M83" s="53"/>
      <c r="N83" s="53"/>
    </row>
    <row r="84" spans="1:14" x14ac:dyDescent="0.4">
      <c r="A84" s="2"/>
      <c r="B84" s="394"/>
      <c r="C84" s="21" t="s">
        <v>236</v>
      </c>
      <c r="D84" s="76">
        <v>0.36</v>
      </c>
      <c r="E84" s="66">
        <v>0.18</v>
      </c>
      <c r="F84" s="66">
        <v>0.17</v>
      </c>
      <c r="G84" s="21">
        <v>0.81</v>
      </c>
      <c r="H84" s="53"/>
      <c r="I84" s="53"/>
      <c r="J84" s="53"/>
      <c r="K84" s="53"/>
      <c r="L84" s="53"/>
      <c r="M84" s="53"/>
      <c r="N84" s="53"/>
    </row>
    <row r="85" spans="1:14" x14ac:dyDescent="0.4">
      <c r="A85" s="2"/>
      <c r="B85" s="394"/>
      <c r="C85" s="21" t="s">
        <v>237</v>
      </c>
      <c r="D85" s="76">
        <v>9.01</v>
      </c>
      <c r="E85" s="66">
        <v>10.09</v>
      </c>
      <c r="F85" s="66">
        <v>10.98</v>
      </c>
      <c r="G85" s="21">
        <v>13.32</v>
      </c>
      <c r="H85" s="53"/>
      <c r="I85" s="53"/>
      <c r="J85" s="53"/>
      <c r="K85" s="53"/>
      <c r="L85" s="53"/>
      <c r="M85" s="53"/>
      <c r="N85" s="53"/>
    </row>
    <row r="86" spans="1:14" x14ac:dyDescent="0.4">
      <c r="A86" s="2"/>
      <c r="B86" s="394"/>
      <c r="C86" s="3" t="s">
        <v>74</v>
      </c>
      <c r="D86" s="127">
        <f>D83+D84+D85/3</f>
        <v>-2.1566666666666658</v>
      </c>
      <c r="E86" s="128">
        <f>E83+E84+E85/3</f>
        <v>8.2033333333333331</v>
      </c>
      <c r="F86" s="128">
        <f>F83+F84+F85/3</f>
        <v>6.8900000000000006</v>
      </c>
      <c r="G86" s="128">
        <f>G83+G84+G85/3</f>
        <v>16.16</v>
      </c>
      <c r="H86" s="53"/>
      <c r="I86" s="53"/>
      <c r="J86" s="53"/>
      <c r="K86" s="53"/>
      <c r="L86" s="53"/>
      <c r="M86" s="53"/>
      <c r="N86" s="53"/>
    </row>
    <row r="87" spans="1:14" x14ac:dyDescent="0.35">
      <c r="A87" s="2"/>
      <c r="B87" s="394" t="s">
        <v>75</v>
      </c>
      <c r="C87" s="3" t="s">
        <v>234</v>
      </c>
      <c r="D87" s="77">
        <v>5.01</v>
      </c>
      <c r="E87" s="66">
        <v>9.5500000000000007</v>
      </c>
      <c r="F87" s="70">
        <f>43/2.33</f>
        <v>18.454935622317596</v>
      </c>
      <c r="G87" s="21">
        <v>10.119999999999999</v>
      </c>
      <c r="H87" s="53"/>
      <c r="I87" s="53"/>
      <c r="J87" s="53"/>
      <c r="K87" s="53"/>
      <c r="L87" s="53"/>
      <c r="M87" s="53"/>
      <c r="N87" s="53"/>
    </row>
    <row r="88" spans="1:14" x14ac:dyDescent="0.35">
      <c r="A88" s="2"/>
      <c r="B88" s="394"/>
      <c r="C88" s="3" t="s">
        <v>109</v>
      </c>
      <c r="D88" s="90" t="s">
        <v>84</v>
      </c>
      <c r="E88" s="66"/>
      <c r="F88" s="66"/>
      <c r="G88" s="21"/>
      <c r="H88" s="53"/>
      <c r="I88" s="53"/>
      <c r="J88" s="53"/>
      <c r="K88" s="53"/>
      <c r="L88" s="53"/>
      <c r="M88" s="53"/>
      <c r="N88" s="53"/>
    </row>
    <row r="89" spans="1:14" x14ac:dyDescent="0.35">
      <c r="A89" s="2"/>
      <c r="B89" s="394"/>
      <c r="C89" s="21" t="s">
        <v>235</v>
      </c>
      <c r="D89" s="90">
        <v>0</v>
      </c>
      <c r="E89" s="66">
        <v>18.71</v>
      </c>
      <c r="F89" s="70">
        <f>78.4/3.06</f>
        <v>25.62091503267974</v>
      </c>
      <c r="G89" s="120">
        <f>85/G83</f>
        <v>7.791017415215399</v>
      </c>
      <c r="H89" s="53"/>
      <c r="I89" s="53"/>
      <c r="J89" s="53"/>
      <c r="K89" s="53"/>
      <c r="L89" s="53"/>
      <c r="M89" s="53"/>
      <c r="N89" s="53"/>
    </row>
    <row r="90" spans="1:14" x14ac:dyDescent="0.35">
      <c r="A90" s="2"/>
      <c r="B90" s="394"/>
      <c r="C90" s="21" t="s">
        <v>236</v>
      </c>
      <c r="D90" s="77">
        <v>25.77</v>
      </c>
      <c r="E90" s="66">
        <v>88.61</v>
      </c>
      <c r="F90" s="70">
        <f>12.85/0.17</f>
        <v>75.588235294117638</v>
      </c>
      <c r="G90" s="120">
        <f>8.06/G84</f>
        <v>9.9506172839506171</v>
      </c>
      <c r="H90" s="53"/>
      <c r="I90" s="53"/>
      <c r="J90" s="53"/>
      <c r="K90" s="53"/>
      <c r="L90" s="53"/>
      <c r="M90" s="53"/>
      <c r="N90" s="53"/>
    </row>
    <row r="91" spans="1:14" x14ac:dyDescent="0.35">
      <c r="A91" s="2"/>
      <c r="B91" s="394"/>
      <c r="C91" s="21" t="s">
        <v>237</v>
      </c>
      <c r="D91" s="90">
        <v>0</v>
      </c>
      <c r="E91" s="66">
        <v>19.86</v>
      </c>
      <c r="F91" s="70">
        <f>202.85/10.98</f>
        <v>18.474499089253186</v>
      </c>
      <c r="G91" s="120">
        <f>164.55/G85</f>
        <v>12.353603603603604</v>
      </c>
      <c r="H91" s="53"/>
      <c r="I91" s="53"/>
      <c r="J91" s="53"/>
      <c r="K91" s="53"/>
      <c r="L91" s="53"/>
      <c r="M91" s="53"/>
      <c r="N91" s="53"/>
    </row>
    <row r="92" spans="1:14" x14ac:dyDescent="0.4">
      <c r="A92" s="2"/>
      <c r="B92" s="394"/>
      <c r="C92" s="3" t="s">
        <v>74</v>
      </c>
      <c r="D92" s="129">
        <f>D89+D90+D91/3</f>
        <v>25.77</v>
      </c>
      <c r="E92" s="79">
        <f>E89+E90+E91/3</f>
        <v>113.94</v>
      </c>
      <c r="F92" s="130">
        <f>F89+F90+F91/3</f>
        <v>107.36731668988178</v>
      </c>
      <c r="G92" s="130">
        <f>G89+G90+G91/3</f>
        <v>21.859502567033886</v>
      </c>
      <c r="H92" s="53"/>
      <c r="I92" s="53"/>
      <c r="J92" s="53"/>
      <c r="K92" s="53"/>
      <c r="L92" s="53"/>
      <c r="M92" s="53"/>
      <c r="N92" s="53"/>
    </row>
    <row r="93" spans="1:14" x14ac:dyDescent="0.35">
      <c r="A93" s="2"/>
      <c r="B93" s="394" t="s">
        <v>76</v>
      </c>
      <c r="C93" s="3" t="s">
        <v>234</v>
      </c>
      <c r="D93" s="65">
        <v>14.25</v>
      </c>
      <c r="E93" s="66">
        <v>15.19</v>
      </c>
      <c r="F93" s="71">
        <f>511.41/10575.27</f>
        <v>4.8359048988820146E-2</v>
      </c>
      <c r="G93" s="122">
        <v>0.104</v>
      </c>
      <c r="H93" s="53"/>
      <c r="I93" s="53"/>
      <c r="J93" s="53"/>
      <c r="K93" s="53"/>
      <c r="L93" s="53"/>
      <c r="M93" s="53"/>
      <c r="N93" s="53"/>
    </row>
    <row r="94" spans="1:14" x14ac:dyDescent="0.4">
      <c r="A94" s="2"/>
      <c r="B94" s="394"/>
      <c r="C94" s="3" t="s">
        <v>109</v>
      </c>
      <c r="D94" s="76" t="s">
        <v>84</v>
      </c>
      <c r="E94" s="66"/>
      <c r="F94" s="66"/>
      <c r="G94" s="21"/>
      <c r="H94" s="53"/>
      <c r="I94" s="53"/>
      <c r="J94" s="53"/>
      <c r="K94" s="53"/>
      <c r="L94" s="53"/>
      <c r="M94" s="53"/>
      <c r="N94" s="53"/>
    </row>
    <row r="95" spans="1:14" x14ac:dyDescent="0.4">
      <c r="A95" s="2"/>
      <c r="B95" s="394"/>
      <c r="C95" s="21" t="s">
        <v>235</v>
      </c>
      <c r="D95" s="76">
        <v>-8.0500000000000007</v>
      </c>
      <c r="E95" s="66">
        <v>6.43</v>
      </c>
      <c r="F95" s="71">
        <f>547.67/13414.6</f>
        <v>4.0826413012687662E-2</v>
      </c>
      <c r="G95" s="122">
        <v>0.12820000000000001</v>
      </c>
      <c r="H95" s="53"/>
      <c r="I95" s="53"/>
      <c r="J95" s="53"/>
      <c r="K95" s="53"/>
      <c r="L95" s="53"/>
      <c r="M95" s="53"/>
      <c r="N95" s="53"/>
    </row>
    <row r="96" spans="1:14" x14ac:dyDescent="0.4">
      <c r="A96" s="2"/>
      <c r="B96" s="394"/>
      <c r="C96" s="21" t="s">
        <v>236</v>
      </c>
      <c r="D96" s="76">
        <v>2.79</v>
      </c>
      <c r="E96" s="66">
        <v>1.39</v>
      </c>
      <c r="F96" s="71">
        <f>180.3/13032.71</f>
        <v>1.3834421237025916E-2</v>
      </c>
      <c r="G96" s="122">
        <f>789.74/13811.67</f>
        <v>5.7179182531873408E-2</v>
      </c>
      <c r="H96" s="53"/>
      <c r="I96" s="53"/>
      <c r="J96" s="53"/>
      <c r="K96" s="53"/>
      <c r="L96" s="53"/>
      <c r="M96" s="53"/>
      <c r="N96" s="53"/>
    </row>
    <row r="97" spans="1:14" x14ac:dyDescent="0.4">
      <c r="A97" s="2"/>
      <c r="B97" s="394"/>
      <c r="C97" s="21" t="s">
        <v>237</v>
      </c>
      <c r="D97" s="76">
        <v>21.15</v>
      </c>
      <c r="E97" s="66">
        <v>15.75</v>
      </c>
      <c r="F97" s="71">
        <f>3317.06/23372.53</f>
        <v>0.14192130676482179</v>
      </c>
      <c r="G97" s="122">
        <f>(4084.58/28441.73)</f>
        <v>0.14361222049432296</v>
      </c>
      <c r="H97" s="53"/>
      <c r="I97" s="53"/>
      <c r="J97" s="53"/>
      <c r="K97" s="53"/>
      <c r="L97" s="53"/>
      <c r="M97" s="53"/>
      <c r="N97" s="53"/>
    </row>
    <row r="98" spans="1:14" x14ac:dyDescent="0.4">
      <c r="A98" s="2"/>
      <c r="B98" s="394"/>
      <c r="C98" s="3" t="s">
        <v>74</v>
      </c>
      <c r="D98" s="127">
        <f>D95+D96+D97/3</f>
        <v>1.7899999999999991</v>
      </c>
      <c r="E98" s="128">
        <f>E95+E96+E97/3</f>
        <v>13.07</v>
      </c>
      <c r="F98" s="128">
        <f>F95+F96+F97/3</f>
        <v>0.10196793650465416</v>
      </c>
      <c r="G98" s="128">
        <f>G95+G96+G97/3</f>
        <v>0.23324992269664774</v>
      </c>
      <c r="H98" s="53"/>
      <c r="I98" s="53"/>
      <c r="J98" s="53"/>
      <c r="K98" s="57"/>
      <c r="L98" s="53"/>
      <c r="M98" s="53"/>
      <c r="N98" s="53"/>
    </row>
    <row r="99" spans="1:14" x14ac:dyDescent="0.35">
      <c r="A99" s="2"/>
      <c r="B99" s="394" t="s">
        <v>77</v>
      </c>
      <c r="C99" s="3" t="s">
        <v>234</v>
      </c>
      <c r="D99" s="65">
        <v>30.27</v>
      </c>
      <c r="E99" s="66">
        <v>35.24</v>
      </c>
      <c r="F99" s="70">
        <f>10575.27/219.067</f>
        <v>48.274135310201899</v>
      </c>
      <c r="G99" s="21">
        <v>53.21</v>
      </c>
      <c r="H99" s="53"/>
      <c r="I99" s="53"/>
      <c r="J99" s="53"/>
      <c r="K99" s="53"/>
      <c r="L99" s="53"/>
      <c r="M99" s="53"/>
      <c r="N99" s="53"/>
    </row>
    <row r="100" spans="1:14" x14ac:dyDescent="0.4">
      <c r="A100" s="2"/>
      <c r="B100" s="394"/>
      <c r="C100" s="3" t="s">
        <v>109</v>
      </c>
      <c r="D100" s="76" t="s">
        <v>84</v>
      </c>
      <c r="E100" s="66"/>
      <c r="F100" s="66"/>
      <c r="G100" s="21"/>
      <c r="H100" s="53"/>
      <c r="I100" s="53"/>
      <c r="J100" s="53"/>
      <c r="K100" s="53"/>
      <c r="L100" s="53"/>
      <c r="M100" s="53"/>
      <c r="N100" s="53"/>
    </row>
    <row r="101" spans="1:14" x14ac:dyDescent="0.4">
      <c r="A101" s="2"/>
      <c r="B101" s="411"/>
      <c r="C101" s="21" t="s">
        <v>235</v>
      </c>
      <c r="D101" s="76">
        <v>68.97</v>
      </c>
      <c r="E101" s="66">
        <v>72.489999999999995</v>
      </c>
      <c r="F101" s="70">
        <f>13414.6/176.743</f>
        <v>75.898904058435136</v>
      </c>
      <c r="G101" s="21">
        <v>85.59</v>
      </c>
      <c r="H101" s="53"/>
      <c r="I101" s="53"/>
      <c r="J101" s="53"/>
      <c r="K101" s="53"/>
      <c r="L101" s="53"/>
      <c r="M101" s="53"/>
      <c r="N101" s="53"/>
    </row>
    <row r="102" spans="1:14" x14ac:dyDescent="0.4">
      <c r="A102" s="2"/>
      <c r="B102" s="411"/>
      <c r="C102" s="21" t="s">
        <v>236</v>
      </c>
      <c r="D102" s="76">
        <v>13.08</v>
      </c>
      <c r="E102" s="66">
        <v>13.3</v>
      </c>
      <c r="F102" s="70">
        <f>13032.71/969.89</f>
        <v>13.437307323510913</v>
      </c>
      <c r="G102" s="120">
        <f>(13811.67*100000)/9698900</f>
        <v>142.4044994793224</v>
      </c>
      <c r="H102" s="53"/>
      <c r="I102" s="53"/>
      <c r="J102" s="53"/>
      <c r="K102" s="53"/>
      <c r="L102" s="53"/>
      <c r="M102" s="53"/>
      <c r="N102" s="53"/>
    </row>
    <row r="103" spans="1:14" x14ac:dyDescent="0.4">
      <c r="A103" s="2"/>
      <c r="B103" s="411"/>
      <c r="C103" s="21" t="s">
        <v>237</v>
      </c>
      <c r="D103" s="76">
        <v>42.57</v>
      </c>
      <c r="E103" s="66">
        <v>64.069999999999993</v>
      </c>
      <c r="F103" s="70">
        <f>23372.53/302.194</f>
        <v>77.342799658497512</v>
      </c>
      <c r="G103" s="120">
        <f>(28441.73*100000)/30724300</f>
        <v>92.570799009253264</v>
      </c>
      <c r="H103" s="53"/>
      <c r="I103" s="53"/>
      <c r="J103" s="53"/>
      <c r="K103" s="53"/>
      <c r="L103" s="53"/>
      <c r="M103" s="53"/>
      <c r="N103" s="53"/>
    </row>
    <row r="104" spans="1:14" x14ac:dyDescent="0.4">
      <c r="A104" s="2"/>
      <c r="B104" s="411"/>
      <c r="C104" s="3" t="s">
        <v>74</v>
      </c>
      <c r="D104" s="127">
        <f>D101+D102+D103/3</f>
        <v>96.24</v>
      </c>
      <c r="E104" s="128">
        <f>E101+E102+E103/3</f>
        <v>107.14666666666666</v>
      </c>
      <c r="F104" s="128">
        <f>F101+F102+F103/3</f>
        <v>115.11714460144522</v>
      </c>
      <c r="G104" s="131">
        <f>G101+G102+G103/3</f>
        <v>258.85143248240684</v>
      </c>
      <c r="H104" s="53"/>
      <c r="I104" s="53"/>
      <c r="J104" s="53"/>
      <c r="K104" s="53"/>
      <c r="L104" s="53"/>
      <c r="M104" s="53"/>
      <c r="N104" s="53"/>
    </row>
    <row r="105" spans="1:14" s="1" customFormat="1" ht="12.85" x14ac:dyDescent="0.4">
      <c r="B105" s="412" t="s">
        <v>110</v>
      </c>
      <c r="C105" s="413"/>
      <c r="D105" s="413"/>
      <c r="E105" s="413"/>
      <c r="F105" s="413"/>
      <c r="G105" s="414"/>
    </row>
    <row r="106" spans="1:14" x14ac:dyDescent="0.4">
      <c r="A106" s="2"/>
      <c r="B106" s="415" t="s">
        <v>238</v>
      </c>
      <c r="C106" s="416"/>
      <c r="D106" s="416"/>
      <c r="E106" s="416"/>
      <c r="F106" s="416"/>
      <c r="G106" s="417"/>
      <c r="H106" s="53"/>
      <c r="I106" s="53"/>
      <c r="J106" s="53"/>
      <c r="K106" s="53"/>
      <c r="L106" s="53"/>
      <c r="M106" s="53"/>
      <c r="N106" s="53"/>
    </row>
    <row r="107" spans="1:14" x14ac:dyDescent="0.4">
      <c r="A107" s="2"/>
      <c r="B107" s="418" t="s">
        <v>85</v>
      </c>
      <c r="C107" s="419"/>
      <c r="D107" s="419"/>
      <c r="E107" s="419"/>
      <c r="F107" s="419"/>
      <c r="G107" s="420"/>
      <c r="H107" s="53"/>
      <c r="I107" s="53"/>
      <c r="J107" s="53"/>
      <c r="K107" s="53"/>
      <c r="L107" s="53"/>
      <c r="M107" s="53"/>
      <c r="N107" s="53"/>
    </row>
    <row r="108" spans="1:14" x14ac:dyDescent="0.4">
      <c r="A108" s="2"/>
      <c r="B108" s="363"/>
      <c r="C108" s="368"/>
      <c r="D108" s="368"/>
      <c r="E108" s="368"/>
      <c r="F108" s="368"/>
      <c r="G108" s="369"/>
      <c r="H108" s="53"/>
      <c r="I108" s="53"/>
      <c r="J108" s="53"/>
      <c r="K108" s="53"/>
      <c r="L108" s="53"/>
      <c r="M108" s="53"/>
      <c r="N108" s="53"/>
    </row>
    <row r="109" spans="1:14" x14ac:dyDescent="0.4">
      <c r="C109" s="407"/>
      <c r="D109" s="407"/>
      <c r="E109" s="407"/>
      <c r="F109" s="407"/>
      <c r="G109" s="407"/>
      <c r="H109" s="53"/>
      <c r="I109" s="53"/>
    </row>
    <row r="110" spans="1:14" x14ac:dyDescent="0.4">
      <c r="A110" s="9">
        <v>14</v>
      </c>
      <c r="B110" s="61" t="s">
        <v>78</v>
      </c>
      <c r="C110" s="356" t="s">
        <v>41</v>
      </c>
      <c r="D110" s="357"/>
      <c r="E110" s="357"/>
      <c r="F110" s="357"/>
      <c r="G110" s="408"/>
    </row>
    <row r="111" spans="1:14" x14ac:dyDescent="0.4">
      <c r="A111" s="23"/>
      <c r="C111" s="69"/>
      <c r="D111" s="69"/>
      <c r="E111" s="69"/>
      <c r="F111" s="69"/>
      <c r="G111" s="69"/>
    </row>
    <row r="112" spans="1:14" x14ac:dyDescent="0.4">
      <c r="B112" s="409" t="s">
        <v>239</v>
      </c>
      <c r="C112" s="410"/>
      <c r="D112" s="410"/>
      <c r="E112" s="410"/>
      <c r="F112" s="410"/>
      <c r="G112" s="410"/>
      <c r="H112" s="410"/>
    </row>
  </sheetData>
  <sheetProtection password="E9DF" sheet="1" objects="1" scenarios="1"/>
  <mergeCells count="59">
    <mergeCell ref="B112:H112"/>
    <mergeCell ref="B105:G105"/>
    <mergeCell ref="B106:G106"/>
    <mergeCell ref="B107:G107"/>
    <mergeCell ref="B108:G108"/>
    <mergeCell ref="C109:G109"/>
    <mergeCell ref="C110:G110"/>
    <mergeCell ref="B74:N74"/>
    <mergeCell ref="B75:N75"/>
    <mergeCell ref="B76:N76"/>
    <mergeCell ref="B78:G78"/>
    <mergeCell ref="B81:B86"/>
    <mergeCell ref="B87:B92"/>
    <mergeCell ref="B93:B98"/>
    <mergeCell ref="B99:B104"/>
    <mergeCell ref="B73:N73"/>
    <mergeCell ref="C56:E56"/>
    <mergeCell ref="C57:E57"/>
    <mergeCell ref="B58:E58"/>
    <mergeCell ref="C61:E61"/>
    <mergeCell ref="B67:B68"/>
    <mergeCell ref="C67:C68"/>
    <mergeCell ref="D67:D68"/>
    <mergeCell ref="E67:E68"/>
    <mergeCell ref="F67:H67"/>
    <mergeCell ref="I67:K67"/>
    <mergeCell ref="L67:N67"/>
    <mergeCell ref="B71:N71"/>
    <mergeCell ref="B72:N72"/>
    <mergeCell ref="B54:B55"/>
    <mergeCell ref="C54:E55"/>
    <mergeCell ref="B35:E35"/>
    <mergeCell ref="B39:C39"/>
    <mergeCell ref="B42:E42"/>
    <mergeCell ref="C43:E43"/>
    <mergeCell ref="C44:E44"/>
    <mergeCell ref="C45:E45"/>
    <mergeCell ref="B46:E46"/>
    <mergeCell ref="B48:E48"/>
    <mergeCell ref="B50:E50"/>
    <mergeCell ref="B51:E51"/>
    <mergeCell ref="B53:E53"/>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pageSetup paperSize="9" orientation="portrait" verticalDpi="120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N118"/>
  <sheetViews>
    <sheetView view="pageBreakPreview" topLeftCell="A96" zoomScale="60" zoomScaleNormal="100" workbookViewId="0">
      <selection activeCell="B70" sqref="B70:N70"/>
    </sheetView>
  </sheetViews>
  <sheetFormatPr defaultColWidth="8.84375" defaultRowHeight="13.25" x14ac:dyDescent="0.4"/>
  <cols>
    <col min="1" max="1" width="8.84375" style="8"/>
    <col min="2" max="2" width="35" style="8" customWidth="1"/>
    <col min="3" max="3" width="47.07421875" style="8" customWidth="1"/>
    <col min="4" max="4" width="48.3046875" style="8" customWidth="1"/>
    <col min="5" max="5" width="15" style="8" customWidth="1"/>
    <col min="6" max="6" width="11.3046875" style="8" customWidth="1"/>
    <col min="7" max="7" width="12.69140625" style="8" customWidth="1"/>
    <col min="8" max="8" width="9.4609375" style="8" bestFit="1" customWidth="1"/>
    <col min="9" max="16384" width="8.84375" style="8"/>
  </cols>
  <sheetData>
    <row r="1" spans="1:7" x14ac:dyDescent="0.4">
      <c r="A1" s="355" t="s">
        <v>0</v>
      </c>
      <c r="B1" s="355"/>
      <c r="D1" s="1"/>
    </row>
    <row r="3" spans="1:7" x14ac:dyDescent="0.4">
      <c r="A3" s="2" t="s">
        <v>1</v>
      </c>
      <c r="B3" s="3" t="s">
        <v>2</v>
      </c>
      <c r="C3" s="515" t="s">
        <v>1411</v>
      </c>
      <c r="D3" s="515"/>
      <c r="E3" s="515"/>
    </row>
    <row r="4" spans="1:7" x14ac:dyDescent="0.4">
      <c r="D4" s="5"/>
    </row>
    <row r="5" spans="1:7" x14ac:dyDescent="0.4">
      <c r="A5" s="36">
        <v>1</v>
      </c>
      <c r="B5" s="3" t="s">
        <v>3</v>
      </c>
      <c r="C5" s="497" t="s">
        <v>1412</v>
      </c>
      <c r="D5" s="497"/>
      <c r="E5" s="497"/>
    </row>
    <row r="6" spans="1:7" x14ac:dyDescent="0.4">
      <c r="A6" s="9"/>
      <c r="B6" s="480" t="s">
        <v>5</v>
      </c>
      <c r="C6" s="480"/>
      <c r="D6" s="480"/>
      <c r="E6" s="480"/>
    </row>
    <row r="7" spans="1:7" x14ac:dyDescent="0.4">
      <c r="A7" s="9"/>
      <c r="B7" s="11"/>
      <c r="D7" s="5"/>
    </row>
    <row r="8" spans="1:7" x14ac:dyDescent="0.4">
      <c r="A8" s="9">
        <v>2</v>
      </c>
      <c r="B8" s="7" t="s">
        <v>6</v>
      </c>
      <c r="C8" s="632" t="s">
        <v>1413</v>
      </c>
      <c r="D8" s="632"/>
      <c r="E8" s="632"/>
    </row>
    <row r="9" spans="1:7" x14ac:dyDescent="0.4">
      <c r="A9" s="9"/>
      <c r="B9" s="480" t="s">
        <v>5</v>
      </c>
      <c r="C9" s="480"/>
      <c r="D9" s="480"/>
      <c r="E9" s="480"/>
    </row>
    <row r="10" spans="1:7" x14ac:dyDescent="0.4">
      <c r="A10" s="9"/>
      <c r="B10" s="11"/>
      <c r="D10" s="5"/>
    </row>
    <row r="11" spans="1:7" ht="25.65" x14ac:dyDescent="0.4">
      <c r="A11" s="9">
        <v>3</v>
      </c>
      <c r="B11" s="7" t="s">
        <v>7</v>
      </c>
      <c r="C11" s="356" t="s">
        <v>1109</v>
      </c>
      <c r="D11" s="357"/>
      <c r="E11" s="408"/>
    </row>
    <row r="12" spans="1:7" x14ac:dyDescent="0.4">
      <c r="A12" s="9"/>
      <c r="B12" s="480" t="s">
        <v>5</v>
      </c>
      <c r="C12" s="480"/>
      <c r="D12" s="480"/>
      <c r="E12" s="480"/>
    </row>
    <row r="13" spans="1:7" x14ac:dyDescent="0.4">
      <c r="A13" s="9"/>
      <c r="B13" s="11"/>
      <c r="D13" s="5"/>
    </row>
    <row r="14" spans="1:7" x14ac:dyDescent="0.4">
      <c r="A14" s="9">
        <v>4</v>
      </c>
      <c r="B14" s="3" t="s">
        <v>9</v>
      </c>
      <c r="C14" s="446" t="s">
        <v>1414</v>
      </c>
      <c r="D14" s="446"/>
      <c r="E14" s="446"/>
    </row>
    <row r="15" spans="1:7" x14ac:dyDescent="0.4">
      <c r="A15" s="9"/>
      <c r="B15" s="480" t="s">
        <v>10</v>
      </c>
      <c r="C15" s="480"/>
      <c r="D15" s="480"/>
      <c r="E15" s="480"/>
    </row>
    <row r="16" spans="1:7" x14ac:dyDescent="0.4">
      <c r="A16" s="9"/>
      <c r="D16" s="5"/>
      <c r="G16" s="8" t="s">
        <v>693</v>
      </c>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t="s">
        <v>560</v>
      </c>
      <c r="D18" s="367"/>
      <c r="E18" s="367"/>
      <c r="F18" s="15"/>
      <c r="G18" s="13"/>
      <c r="H18" s="13"/>
      <c r="I18" s="13"/>
      <c r="J18" s="13"/>
      <c r="K18" s="13"/>
      <c r="L18" s="13"/>
      <c r="M18" s="13"/>
      <c r="N18" s="13"/>
    </row>
    <row r="19" spans="1:14" ht="38.450000000000003" x14ac:dyDescent="0.4">
      <c r="A19" s="9"/>
      <c r="B19" s="14" t="s">
        <v>1415</v>
      </c>
      <c r="C19" s="367" t="s">
        <v>560</v>
      </c>
      <c r="D19" s="367"/>
      <c r="E19" s="367"/>
      <c r="F19" s="15"/>
      <c r="G19" s="13"/>
      <c r="I19" s="13"/>
      <c r="J19" s="13"/>
      <c r="K19" s="13"/>
      <c r="L19" s="13"/>
      <c r="M19" s="13"/>
      <c r="N19" s="13"/>
    </row>
    <row r="20" spans="1:14" x14ac:dyDescent="0.4">
      <c r="A20" s="9"/>
      <c r="B20" s="14" t="s">
        <v>605</v>
      </c>
      <c r="C20" s="367" t="s">
        <v>1416</v>
      </c>
      <c r="D20" s="367"/>
      <c r="E20" s="367"/>
      <c r="F20" s="15"/>
      <c r="G20" s="13"/>
      <c r="H20" s="13"/>
      <c r="I20" s="13"/>
      <c r="J20" s="13"/>
      <c r="K20" s="13"/>
      <c r="L20" s="13"/>
      <c r="M20" s="13"/>
      <c r="N20" s="13"/>
    </row>
    <row r="21" spans="1:14" x14ac:dyDescent="0.4">
      <c r="A21" s="9"/>
      <c r="B21" s="16" t="s">
        <v>15</v>
      </c>
      <c r="C21" s="447" t="s">
        <v>1071</v>
      </c>
      <c r="D21" s="447"/>
      <c r="E21" s="447"/>
      <c r="F21" s="15"/>
      <c r="G21" s="13"/>
      <c r="H21" s="13"/>
      <c r="I21" s="13"/>
      <c r="J21" s="13"/>
      <c r="K21" s="13"/>
      <c r="L21" s="13"/>
      <c r="M21" s="13"/>
      <c r="N21" s="13"/>
    </row>
    <row r="22" spans="1:14" x14ac:dyDescent="0.4">
      <c r="A22" s="9"/>
      <c r="B22" s="17" t="s">
        <v>16</v>
      </c>
      <c r="C22" s="446" t="s">
        <v>1072</v>
      </c>
      <c r="D22" s="446"/>
      <c r="E22" s="446"/>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t="s">
        <v>693</v>
      </c>
      <c r="H25" s="13"/>
      <c r="I25" s="11"/>
      <c r="J25" s="11"/>
    </row>
    <row r="26" spans="1:14" x14ac:dyDescent="0.4">
      <c r="A26" s="9"/>
      <c r="B26" s="370" t="s">
        <v>19</v>
      </c>
      <c r="C26" s="371"/>
      <c r="D26" s="371"/>
      <c r="E26" s="372"/>
      <c r="F26" s="15"/>
    </row>
    <row r="27" spans="1:14" x14ac:dyDescent="0.4">
      <c r="A27" s="9"/>
      <c r="B27" s="17" t="s">
        <v>20</v>
      </c>
      <c r="C27" s="18" t="s">
        <v>202</v>
      </c>
      <c r="D27" s="18" t="s">
        <v>263</v>
      </c>
      <c r="E27" s="18" t="s">
        <v>23</v>
      </c>
      <c r="F27" s="15"/>
    </row>
    <row r="28" spans="1:14" x14ac:dyDescent="0.4">
      <c r="A28" s="9"/>
      <c r="B28" s="19" t="s">
        <v>1272</v>
      </c>
      <c r="C28" s="540" t="s">
        <v>1416</v>
      </c>
      <c r="D28" s="540" t="s">
        <v>1071</v>
      </c>
      <c r="E28" s="540" t="s">
        <v>1072</v>
      </c>
      <c r="F28" s="15"/>
    </row>
    <row r="29" spans="1:14" x14ac:dyDescent="0.4">
      <c r="A29" s="9"/>
      <c r="B29" s="19" t="s">
        <v>25</v>
      </c>
      <c r="C29" s="541"/>
      <c r="D29" s="541"/>
      <c r="E29" s="541"/>
      <c r="F29" s="15"/>
    </row>
    <row r="30" spans="1:14" x14ac:dyDescent="0.4">
      <c r="A30" s="9"/>
      <c r="B30" s="19" t="s">
        <v>26</v>
      </c>
      <c r="C30" s="541"/>
      <c r="D30" s="541"/>
      <c r="E30" s="541"/>
      <c r="F30" s="15"/>
    </row>
    <row r="31" spans="1:14" x14ac:dyDescent="0.4">
      <c r="A31" s="9"/>
      <c r="B31" s="19" t="s">
        <v>27</v>
      </c>
      <c r="C31" s="542"/>
      <c r="D31" s="542"/>
      <c r="E31" s="542"/>
      <c r="F31" s="15"/>
    </row>
    <row r="32" spans="1:14" x14ac:dyDescent="0.4">
      <c r="A32" s="9"/>
      <c r="B32" s="13"/>
      <c r="C32" s="15"/>
      <c r="D32" s="15"/>
      <c r="E32" s="15"/>
      <c r="F32" s="15"/>
    </row>
    <row r="33" spans="1:10" x14ac:dyDescent="0.4">
      <c r="A33" s="9">
        <v>7</v>
      </c>
      <c r="B33" s="365" t="s">
        <v>28</v>
      </c>
      <c r="C33" s="365"/>
      <c r="D33" s="365"/>
      <c r="E33" s="365"/>
      <c r="F33" s="11"/>
      <c r="G33" s="11"/>
      <c r="H33" s="11"/>
      <c r="I33" s="11"/>
      <c r="J33" s="11"/>
    </row>
    <row r="34" spans="1:10" x14ac:dyDescent="0.4">
      <c r="A34" s="9"/>
      <c r="B34" s="17" t="s">
        <v>29</v>
      </c>
      <c r="C34" s="446" t="s">
        <v>1416</v>
      </c>
      <c r="D34" s="446"/>
      <c r="E34" s="446"/>
      <c r="F34" s="13"/>
    </row>
    <row r="35" spans="1:10" x14ac:dyDescent="0.4">
      <c r="A35" s="9"/>
      <c r="B35" s="17" t="s">
        <v>31</v>
      </c>
      <c r="C35" s="446" t="s">
        <v>1071</v>
      </c>
      <c r="D35" s="446"/>
      <c r="E35" s="446"/>
      <c r="F35" s="13"/>
    </row>
    <row r="36" spans="1:10" x14ac:dyDescent="0.4">
      <c r="A36" s="9"/>
      <c r="B36" s="17" t="s">
        <v>32</v>
      </c>
      <c r="C36" s="446" t="s">
        <v>1072</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373" t="s">
        <v>1416</v>
      </c>
      <c r="D40" s="374"/>
      <c r="E40" s="375"/>
      <c r="F40" s="13"/>
    </row>
    <row r="41" spans="1:10" ht="15.05" x14ac:dyDescent="0.45">
      <c r="A41" s="9"/>
      <c r="B41" s="17" t="s">
        <v>31</v>
      </c>
      <c r="C41" s="373" t="s">
        <v>1071</v>
      </c>
      <c r="D41" s="374"/>
      <c r="E41" s="375"/>
      <c r="F41" s="182"/>
      <c r="I41" s="182"/>
    </row>
    <row r="42" spans="1:10" x14ac:dyDescent="0.4">
      <c r="A42" s="9"/>
      <c r="B42" s="17" t="s">
        <v>32</v>
      </c>
      <c r="C42" s="373" t="s">
        <v>1072</v>
      </c>
      <c r="D42" s="374"/>
      <c r="E42" s="375"/>
      <c r="F42" s="13"/>
    </row>
    <row r="43" spans="1:10" x14ac:dyDescent="0.4">
      <c r="A43" s="9"/>
      <c r="B43" s="363" t="s">
        <v>1073</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51.25" x14ac:dyDescent="0.4">
      <c r="A46" s="24"/>
      <c r="B46" s="26" t="s">
        <v>37</v>
      </c>
      <c r="C46" s="27" t="s">
        <v>38</v>
      </c>
      <c r="D46" s="28" t="s">
        <v>39</v>
      </c>
      <c r="E46" s="27" t="s">
        <v>206</v>
      </c>
    </row>
    <row r="47" spans="1:10" ht="39.75" x14ac:dyDescent="0.4">
      <c r="A47" s="29"/>
      <c r="B47" s="30" t="s">
        <v>1417</v>
      </c>
      <c r="C47" s="30" t="s">
        <v>1418</v>
      </c>
      <c r="D47" s="30" t="s">
        <v>1419</v>
      </c>
      <c r="E47" s="160" t="s">
        <v>1420</v>
      </c>
      <c r="G47" s="8" t="s">
        <v>693</v>
      </c>
    </row>
    <row r="48" spans="1:10" x14ac:dyDescent="0.4">
      <c r="A48" s="31"/>
      <c r="B48" s="380"/>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452" t="s">
        <v>43</v>
      </c>
      <c r="C51" s="637" t="s">
        <v>1418</v>
      </c>
      <c r="D51" s="638"/>
      <c r="E51" s="639"/>
      <c r="K51" s="1"/>
    </row>
    <row r="52" spans="1:14" ht="40.200000000000003" customHeight="1" x14ac:dyDescent="0.4">
      <c r="A52" s="29"/>
      <c r="B52" s="552"/>
      <c r="C52" s="640"/>
      <c r="D52" s="641"/>
      <c r="E52" s="642"/>
      <c r="F52" s="8" t="s">
        <v>693</v>
      </c>
      <c r="K52" s="1"/>
    </row>
    <row r="53" spans="1:14" ht="58.2" customHeight="1" x14ac:dyDescent="0.4">
      <c r="A53" s="24"/>
      <c r="B53" s="33" t="s">
        <v>44</v>
      </c>
      <c r="C53" s="460" t="s">
        <v>1419</v>
      </c>
      <c r="D53" s="460"/>
      <c r="E53" s="460"/>
      <c r="G53" s="8" t="s">
        <v>693</v>
      </c>
    </row>
    <row r="54" spans="1:14" x14ac:dyDescent="0.4">
      <c r="A54" s="29"/>
      <c r="B54" s="33" t="s">
        <v>45</v>
      </c>
      <c r="C54" s="429" t="s">
        <v>1421</v>
      </c>
      <c r="D54" s="430"/>
      <c r="E54" s="431"/>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1053</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43"/>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635" t="s">
        <v>1422</v>
      </c>
      <c r="D61" s="636"/>
      <c r="E61" s="636"/>
      <c r="F61" s="44"/>
      <c r="G61" s="44"/>
      <c r="H61" s="15"/>
      <c r="I61" s="15"/>
      <c r="J61" s="15"/>
      <c r="K61" s="15"/>
      <c r="L61" s="15"/>
      <c r="M61" s="15"/>
      <c r="N61" s="15"/>
    </row>
    <row r="62" spans="1:14" x14ac:dyDescent="0.4">
      <c r="A62" s="9"/>
      <c r="B62" s="15"/>
      <c r="C62" s="15"/>
      <c r="D62" s="118"/>
      <c r="E62" s="118"/>
      <c r="F62" s="15"/>
      <c r="G62" s="15"/>
      <c r="H62" s="15"/>
      <c r="I62" s="15"/>
      <c r="J62" s="15"/>
      <c r="K62" s="15"/>
      <c r="L62" s="15"/>
      <c r="M62" s="15"/>
      <c r="N62" s="15"/>
    </row>
    <row r="63" spans="1:14" x14ac:dyDescent="0.4">
      <c r="A63" s="9"/>
      <c r="B63" s="365" t="s">
        <v>53</v>
      </c>
      <c r="C63" s="366" t="s">
        <v>1423</v>
      </c>
      <c r="D63" s="366" t="s">
        <v>271</v>
      </c>
      <c r="E63" s="403" t="s">
        <v>232</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61</v>
      </c>
      <c r="C65" s="111">
        <v>159.6</v>
      </c>
      <c r="D65" s="45">
        <v>112.95</v>
      </c>
      <c r="E65" s="101">
        <v>87</v>
      </c>
      <c r="F65" s="45" t="s">
        <v>41</v>
      </c>
      <c r="G65" s="45" t="s">
        <v>41</v>
      </c>
      <c r="H65" s="45" t="s">
        <v>41</v>
      </c>
      <c r="I65" s="45" t="s">
        <v>41</v>
      </c>
      <c r="J65" s="45" t="s">
        <v>41</v>
      </c>
      <c r="K65" s="45" t="s">
        <v>41</v>
      </c>
      <c r="L65" s="45" t="s">
        <v>41</v>
      </c>
      <c r="M65" s="45" t="s">
        <v>41</v>
      </c>
      <c r="N65" s="45" t="s">
        <v>41</v>
      </c>
    </row>
    <row r="66" spans="1:14" ht="25.65" x14ac:dyDescent="0.4">
      <c r="A66" s="2"/>
      <c r="B66" s="17" t="s">
        <v>216</v>
      </c>
      <c r="C66" s="111">
        <v>67838.63</v>
      </c>
      <c r="D66" s="45">
        <v>66166.929999999993</v>
      </c>
      <c r="E66" s="101">
        <v>70514.2</v>
      </c>
      <c r="F66" s="45" t="s">
        <v>41</v>
      </c>
      <c r="G66" s="45" t="s">
        <v>41</v>
      </c>
      <c r="H66" s="45" t="s">
        <v>41</v>
      </c>
      <c r="I66" s="45" t="s">
        <v>41</v>
      </c>
      <c r="J66" s="45" t="s">
        <v>41</v>
      </c>
      <c r="K66" s="45" t="s">
        <v>41</v>
      </c>
      <c r="L66" s="45" t="s">
        <v>41</v>
      </c>
      <c r="M66" s="45" t="s">
        <v>41</v>
      </c>
      <c r="N66" s="45" t="s">
        <v>41</v>
      </c>
    </row>
    <row r="67" spans="1:14" x14ac:dyDescent="0.4">
      <c r="A67" s="2"/>
      <c r="B67" s="17" t="s">
        <v>1087</v>
      </c>
      <c r="C67" s="546" t="s">
        <v>83</v>
      </c>
      <c r="D67" s="546"/>
      <c r="E67" s="546"/>
      <c r="F67" s="546"/>
      <c r="G67" s="546"/>
      <c r="H67" s="546"/>
      <c r="I67" s="546"/>
      <c r="J67" s="546"/>
      <c r="K67" s="546"/>
      <c r="L67" s="546"/>
      <c r="M67" s="546"/>
      <c r="N67" s="546"/>
    </row>
    <row r="68" spans="1:14" ht="13.25" customHeight="1" x14ac:dyDescent="0.4">
      <c r="A68" s="2"/>
      <c r="B68" s="399" t="s">
        <v>1424</v>
      </c>
      <c r="C68" s="399"/>
      <c r="D68" s="399"/>
      <c r="E68" s="399"/>
      <c r="F68" s="399"/>
      <c r="G68" s="399"/>
      <c r="H68" s="399"/>
      <c r="I68" s="399"/>
      <c r="J68" s="399"/>
      <c r="K68" s="399"/>
      <c r="L68" s="399"/>
      <c r="M68" s="399"/>
      <c r="N68" s="399"/>
    </row>
    <row r="69" spans="1:14" x14ac:dyDescent="0.4">
      <c r="A69" s="2"/>
      <c r="B69" s="545" t="s">
        <v>17</v>
      </c>
      <c r="C69" s="545"/>
      <c r="D69" s="545"/>
      <c r="E69" s="545"/>
      <c r="F69" s="545"/>
      <c r="G69" s="545"/>
      <c r="H69" s="545"/>
      <c r="I69" s="545"/>
      <c r="J69" s="545"/>
      <c r="K69" s="545"/>
      <c r="L69" s="545"/>
      <c r="M69" s="545"/>
      <c r="N69" s="545"/>
    </row>
    <row r="70" spans="1:14" x14ac:dyDescent="0.4">
      <c r="A70" s="2"/>
      <c r="B70" s="480" t="s">
        <v>693</v>
      </c>
      <c r="C70" s="480"/>
      <c r="D70" s="480"/>
      <c r="E70" s="480"/>
      <c r="F70" s="480"/>
      <c r="G70" s="480"/>
      <c r="H70" s="480"/>
      <c r="I70" s="480"/>
      <c r="J70" s="480"/>
      <c r="K70" s="480"/>
      <c r="L70" s="480"/>
      <c r="M70" s="480"/>
      <c r="N70" s="480"/>
    </row>
    <row r="71" spans="1:14" s="1" customFormat="1" x14ac:dyDescent="0.4">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49"/>
      <c r="E74" s="49"/>
      <c r="F74" s="49"/>
      <c r="G74" s="13"/>
      <c r="H74" s="13"/>
      <c r="I74" s="13"/>
      <c r="J74" s="13"/>
      <c r="K74" s="13"/>
      <c r="L74" s="13"/>
      <c r="M74" s="13"/>
      <c r="N74" s="13"/>
    </row>
    <row r="75" spans="1:14" ht="32.25" customHeight="1" x14ac:dyDescent="0.4">
      <c r="A75" s="9">
        <v>13</v>
      </c>
      <c r="B75" s="405" t="s">
        <v>66</v>
      </c>
      <c r="C75" s="406"/>
      <c r="D75" s="406"/>
      <c r="E75" s="406"/>
      <c r="F75" s="406"/>
      <c r="G75" s="376"/>
      <c r="H75" s="11" t="s">
        <v>693</v>
      </c>
      <c r="I75" s="11"/>
      <c r="J75" s="11"/>
      <c r="K75" s="11"/>
      <c r="L75" s="11"/>
      <c r="M75" s="11"/>
      <c r="N75" s="11"/>
    </row>
    <row r="76" spans="1:14" x14ac:dyDescent="0.4">
      <c r="A76" s="9"/>
      <c r="C76" s="15"/>
      <c r="D76" s="15"/>
      <c r="E76" s="15"/>
      <c r="F76" s="15"/>
      <c r="G76" s="15"/>
      <c r="H76" s="15"/>
      <c r="I76" s="15"/>
      <c r="J76" s="15"/>
      <c r="K76" s="15"/>
      <c r="L76" s="15"/>
      <c r="M76" s="15"/>
      <c r="N76" s="15"/>
    </row>
    <row r="77" spans="1:14" ht="25.65" x14ac:dyDescent="0.4">
      <c r="A77" s="2"/>
      <c r="B77" s="50" t="s">
        <v>67</v>
      </c>
      <c r="C77" s="18" t="s">
        <v>68</v>
      </c>
      <c r="D77" s="18" t="s">
        <v>1127</v>
      </c>
      <c r="E77" s="18" t="s">
        <v>218</v>
      </c>
      <c r="F77" s="18" t="s">
        <v>71</v>
      </c>
      <c r="G77" s="18" t="s">
        <v>107</v>
      </c>
      <c r="H77" s="13"/>
      <c r="I77" s="13"/>
      <c r="J77" s="13"/>
      <c r="K77" s="13"/>
      <c r="L77" s="13"/>
      <c r="M77" s="13"/>
      <c r="N77" s="13"/>
    </row>
    <row r="78" spans="1:14" ht="13.25" customHeight="1" x14ac:dyDescent="0.35">
      <c r="A78" s="2"/>
      <c r="B78" s="394" t="s">
        <v>1271</v>
      </c>
      <c r="C78" s="3" t="s">
        <v>1425</v>
      </c>
      <c r="D78" s="65">
        <v>10.34</v>
      </c>
      <c r="E78" s="435" t="s">
        <v>1416</v>
      </c>
      <c r="F78" s="435" t="s">
        <v>1071</v>
      </c>
      <c r="G78" s="435" t="s">
        <v>1072</v>
      </c>
      <c r="H78" s="53"/>
      <c r="I78" s="53"/>
      <c r="J78" s="53"/>
      <c r="K78" s="53"/>
      <c r="L78" s="53"/>
      <c r="M78" s="53"/>
      <c r="N78" s="53"/>
    </row>
    <row r="79" spans="1:14" x14ac:dyDescent="0.4">
      <c r="A79" s="2"/>
      <c r="B79" s="394"/>
      <c r="C79" s="3" t="s">
        <v>765</v>
      </c>
      <c r="D79" s="54"/>
      <c r="E79" s="436"/>
      <c r="F79" s="436"/>
      <c r="G79" s="436"/>
      <c r="H79" s="53"/>
      <c r="I79" s="53"/>
      <c r="J79" s="53"/>
      <c r="K79" s="53"/>
      <c r="L79" s="53"/>
      <c r="M79" s="53"/>
      <c r="N79" s="53"/>
    </row>
    <row r="80" spans="1:14" x14ac:dyDescent="0.4">
      <c r="A80" s="2"/>
      <c r="B80" s="394"/>
      <c r="C80" s="21" t="s">
        <v>1426</v>
      </c>
      <c r="D80" s="54">
        <v>2.1</v>
      </c>
      <c r="E80" s="436"/>
      <c r="F80" s="436"/>
      <c r="G80" s="436"/>
      <c r="H80" s="53"/>
      <c r="I80" s="53"/>
      <c r="J80" s="53"/>
      <c r="K80" s="53"/>
      <c r="L80" s="53"/>
      <c r="M80" s="53"/>
      <c r="N80" s="53"/>
    </row>
    <row r="81" spans="1:14" x14ac:dyDescent="0.4">
      <c r="A81" s="2"/>
      <c r="B81" s="394"/>
      <c r="C81" s="21" t="s">
        <v>1427</v>
      </c>
      <c r="D81" s="54">
        <v>1.51</v>
      </c>
      <c r="E81" s="436"/>
      <c r="F81" s="436"/>
      <c r="G81" s="436"/>
      <c r="H81" s="53"/>
      <c r="I81" s="53"/>
      <c r="J81" s="53"/>
      <c r="K81" s="53"/>
      <c r="L81" s="53"/>
      <c r="M81" s="53"/>
      <c r="N81" s="53"/>
    </row>
    <row r="82" spans="1:14" x14ac:dyDescent="0.4">
      <c r="A82" s="2"/>
      <c r="B82" s="394"/>
      <c r="C82" s="21" t="s">
        <v>1428</v>
      </c>
      <c r="D82" s="54">
        <v>33.75</v>
      </c>
      <c r="E82" s="436"/>
      <c r="F82" s="436"/>
      <c r="G82" s="436"/>
      <c r="H82" s="53"/>
      <c r="I82" s="53"/>
      <c r="J82" s="53"/>
      <c r="K82" s="53"/>
      <c r="L82" s="53"/>
      <c r="M82" s="53"/>
      <c r="N82" s="53"/>
    </row>
    <row r="83" spans="1:14" x14ac:dyDescent="0.4">
      <c r="A83" s="2"/>
      <c r="B83" s="394"/>
      <c r="C83" s="3" t="s">
        <v>74</v>
      </c>
      <c r="D83" s="127">
        <v>12.45</v>
      </c>
      <c r="E83" s="436"/>
      <c r="F83" s="436"/>
      <c r="G83" s="436"/>
      <c r="H83" s="53"/>
      <c r="I83" s="53"/>
      <c r="J83" s="53"/>
      <c r="K83" s="53"/>
      <c r="L83" s="53"/>
      <c r="M83" s="53"/>
      <c r="N83" s="53"/>
    </row>
    <row r="84" spans="1:14" x14ac:dyDescent="0.35">
      <c r="A84" s="2"/>
      <c r="B84" s="394" t="s">
        <v>75</v>
      </c>
      <c r="C84" s="3" t="s">
        <v>1425</v>
      </c>
      <c r="D84" s="77">
        <v>7.74</v>
      </c>
      <c r="E84" s="436"/>
      <c r="F84" s="436"/>
      <c r="G84" s="436"/>
      <c r="H84" s="53"/>
      <c r="I84" s="53"/>
      <c r="J84" s="53"/>
      <c r="K84" s="53"/>
      <c r="L84" s="53"/>
      <c r="M84" s="53"/>
      <c r="N84" s="53"/>
    </row>
    <row r="85" spans="1:14" x14ac:dyDescent="0.4">
      <c r="A85" s="2"/>
      <c r="B85" s="394"/>
      <c r="C85" s="3" t="s">
        <v>73</v>
      </c>
      <c r="D85" s="54"/>
      <c r="E85" s="436"/>
      <c r="F85" s="436"/>
      <c r="G85" s="436"/>
      <c r="H85" s="53"/>
      <c r="I85" s="53"/>
      <c r="J85" s="53"/>
      <c r="K85" s="53"/>
      <c r="L85" s="53"/>
      <c r="M85" s="53"/>
      <c r="N85" s="53"/>
    </row>
    <row r="86" spans="1:14" x14ac:dyDescent="0.4">
      <c r="A86" s="2"/>
      <c r="B86" s="394"/>
      <c r="C86" s="21" t="s">
        <v>1426</v>
      </c>
      <c r="D86" s="54">
        <v>54.43</v>
      </c>
      <c r="E86" s="436"/>
      <c r="F86" s="436"/>
      <c r="G86" s="436"/>
      <c r="H86" s="53"/>
      <c r="I86" s="53"/>
      <c r="J86" s="53"/>
      <c r="K86" s="53"/>
      <c r="L86" s="53"/>
      <c r="M86" s="53"/>
      <c r="N86" s="53"/>
    </row>
    <row r="87" spans="1:14" x14ac:dyDescent="0.4">
      <c r="A87" s="2"/>
      <c r="B87" s="394"/>
      <c r="C87" s="21" t="s">
        <v>1427</v>
      </c>
      <c r="D87" s="54">
        <v>17.63</v>
      </c>
      <c r="E87" s="436"/>
      <c r="F87" s="436"/>
      <c r="G87" s="436"/>
      <c r="H87" s="53"/>
      <c r="I87" s="53"/>
      <c r="J87" s="53"/>
      <c r="K87" s="53"/>
      <c r="L87" s="53"/>
      <c r="M87" s="53"/>
      <c r="N87" s="53"/>
    </row>
    <row r="88" spans="1:14" x14ac:dyDescent="0.4">
      <c r="A88" s="2"/>
      <c r="B88" s="394"/>
      <c r="C88" s="21" t="s">
        <v>1428</v>
      </c>
      <c r="D88" s="54">
        <v>11.14</v>
      </c>
      <c r="E88" s="436"/>
      <c r="F88" s="436"/>
      <c r="G88" s="436"/>
      <c r="H88" s="53"/>
      <c r="I88" s="53"/>
      <c r="J88" s="53"/>
      <c r="K88" s="53"/>
      <c r="L88" s="53"/>
      <c r="M88" s="53"/>
      <c r="N88" s="53"/>
    </row>
    <row r="89" spans="1:14" x14ac:dyDescent="0.4">
      <c r="A89" s="2"/>
      <c r="B89" s="394"/>
      <c r="C89" s="3" t="s">
        <v>74</v>
      </c>
      <c r="D89" s="127">
        <v>27.73</v>
      </c>
      <c r="E89" s="436"/>
      <c r="F89" s="436"/>
      <c r="G89" s="436"/>
      <c r="H89" s="53"/>
      <c r="I89" s="53"/>
      <c r="J89" s="53"/>
      <c r="K89" s="53"/>
      <c r="L89" s="53"/>
      <c r="M89" s="53"/>
      <c r="N89" s="53"/>
    </row>
    <row r="90" spans="1:14" ht="14.6" x14ac:dyDescent="0.4">
      <c r="A90" s="2"/>
      <c r="B90" s="394" t="s">
        <v>76</v>
      </c>
      <c r="C90" s="3" t="s">
        <v>1425</v>
      </c>
      <c r="D90" s="97">
        <v>0.59789999999999999</v>
      </c>
      <c r="E90" s="436"/>
      <c r="F90" s="436"/>
      <c r="G90" s="436"/>
      <c r="H90" s="53"/>
      <c r="I90"/>
      <c r="J90"/>
      <c r="K90" s="1"/>
      <c r="L90"/>
      <c r="M90"/>
      <c r="N90"/>
    </row>
    <row r="91" spans="1:14" x14ac:dyDescent="0.4">
      <c r="A91" s="2"/>
      <c r="B91" s="394"/>
      <c r="C91" s="3" t="s">
        <v>73</v>
      </c>
      <c r="D91" s="54"/>
      <c r="E91" s="436"/>
      <c r="F91" s="436"/>
      <c r="G91" s="436"/>
      <c r="H91" s="53"/>
      <c r="I91" s="53"/>
      <c r="J91" s="53"/>
      <c r="K91" s="53"/>
      <c r="L91" s="53"/>
      <c r="M91" s="53"/>
      <c r="N91" s="53"/>
    </row>
    <row r="92" spans="1:14" x14ac:dyDescent="0.35">
      <c r="A92" s="2"/>
      <c r="B92" s="394"/>
      <c r="C92" s="21" t="s">
        <v>1426</v>
      </c>
      <c r="D92" s="97">
        <v>4.2900000000000001E-2</v>
      </c>
      <c r="E92" s="436"/>
      <c r="F92" s="436"/>
      <c r="G92" s="436"/>
      <c r="H92" s="53"/>
      <c r="I92" s="53"/>
      <c r="J92" s="53"/>
      <c r="K92" s="53"/>
      <c r="L92" s="53"/>
      <c r="M92" s="53"/>
      <c r="N92" s="53"/>
    </row>
    <row r="93" spans="1:14" x14ac:dyDescent="0.35">
      <c r="A93" s="2"/>
      <c r="B93" s="394"/>
      <c r="C93" s="21" t="s">
        <v>1427</v>
      </c>
      <c r="D93" s="97">
        <v>3.6499999999999998E-2</v>
      </c>
      <c r="E93" s="436"/>
      <c r="F93" s="436"/>
      <c r="G93" s="436"/>
      <c r="H93" s="53"/>
      <c r="I93" s="53"/>
      <c r="J93" s="53"/>
      <c r="K93" s="53"/>
      <c r="L93" s="53"/>
      <c r="M93" s="53"/>
      <c r="N93" s="53"/>
    </row>
    <row r="94" spans="1:14" x14ac:dyDescent="0.35">
      <c r="A94" s="2"/>
      <c r="B94" s="394"/>
      <c r="C94" s="21" t="s">
        <v>1428</v>
      </c>
      <c r="D94" s="97">
        <v>8.4000000000000005E-2</v>
      </c>
      <c r="E94" s="436"/>
      <c r="F94" s="436"/>
      <c r="G94" s="436"/>
      <c r="H94" s="53"/>
      <c r="I94" s="53"/>
      <c r="J94" s="53"/>
      <c r="K94" s="53"/>
      <c r="L94" s="53"/>
      <c r="M94" s="53"/>
      <c r="N94" s="53"/>
    </row>
    <row r="95" spans="1:14" x14ac:dyDescent="0.4">
      <c r="A95" s="2"/>
      <c r="B95" s="394"/>
      <c r="C95" s="3" t="s">
        <v>74</v>
      </c>
      <c r="D95" s="196">
        <v>5.45E-2</v>
      </c>
      <c r="E95" s="436"/>
      <c r="F95" s="436"/>
      <c r="G95" s="436"/>
      <c r="H95" s="53"/>
      <c r="I95" s="53"/>
      <c r="J95" s="53"/>
      <c r="K95" s="53"/>
      <c r="L95" s="53"/>
      <c r="M95" s="53"/>
      <c r="N95" s="53"/>
    </row>
    <row r="96" spans="1:14" x14ac:dyDescent="0.35">
      <c r="A96" s="2"/>
      <c r="B96" s="394" t="s">
        <v>77</v>
      </c>
      <c r="C96" s="3" t="s">
        <v>1425</v>
      </c>
      <c r="D96" s="65">
        <v>17.29</v>
      </c>
      <c r="E96" s="436"/>
      <c r="F96" s="436"/>
      <c r="G96" s="436"/>
      <c r="H96" s="53"/>
      <c r="I96" s="53"/>
      <c r="J96" s="53"/>
      <c r="K96" s="53"/>
      <c r="L96" s="53"/>
      <c r="M96" s="53"/>
      <c r="N96" s="53"/>
    </row>
    <row r="97" spans="1:14" x14ac:dyDescent="0.4">
      <c r="A97" s="2"/>
      <c r="B97" s="394"/>
      <c r="C97" s="3" t="s">
        <v>73</v>
      </c>
      <c r="D97" s="54"/>
      <c r="E97" s="436"/>
      <c r="F97" s="436"/>
      <c r="G97" s="436"/>
      <c r="H97" s="53"/>
      <c r="I97" s="53"/>
      <c r="J97" s="53"/>
      <c r="L97" s="53"/>
      <c r="M97" s="53"/>
      <c r="N97" s="53"/>
    </row>
    <row r="98" spans="1:14" x14ac:dyDescent="0.4">
      <c r="A98" s="2"/>
      <c r="B98" s="411"/>
      <c r="C98" s="21" t="s">
        <v>1426</v>
      </c>
      <c r="D98" s="54">
        <v>33.950000000000003</v>
      </c>
      <c r="E98" s="436"/>
      <c r="F98" s="436"/>
      <c r="G98" s="436"/>
      <c r="H98" s="53"/>
      <c r="I98" s="53"/>
      <c r="J98" s="53"/>
      <c r="L98" s="53"/>
      <c r="M98" s="53"/>
      <c r="N98" s="53"/>
    </row>
    <row r="99" spans="1:14" x14ac:dyDescent="0.4">
      <c r="A99" s="2"/>
      <c r="B99" s="411"/>
      <c r="C99" s="21" t="s">
        <v>1427</v>
      </c>
      <c r="D99" s="54">
        <v>38.450000000000003</v>
      </c>
      <c r="E99" s="436"/>
      <c r="F99" s="436"/>
      <c r="G99" s="436"/>
      <c r="H99" s="53"/>
      <c r="I99" s="53"/>
      <c r="J99" s="53"/>
      <c r="L99" s="53"/>
      <c r="M99" s="53"/>
      <c r="N99" s="53"/>
    </row>
    <row r="100" spans="1:14" x14ac:dyDescent="0.4">
      <c r="A100" s="2"/>
      <c r="B100" s="411"/>
      <c r="C100" s="21" t="s">
        <v>1428</v>
      </c>
      <c r="D100" s="54">
        <v>402.03</v>
      </c>
      <c r="E100" s="436"/>
      <c r="F100" s="436"/>
      <c r="G100" s="436"/>
      <c r="H100" s="53"/>
      <c r="I100" s="53" t="s">
        <v>693</v>
      </c>
      <c r="J100" s="53"/>
      <c r="L100" s="53"/>
      <c r="M100" s="53"/>
      <c r="N100" s="53"/>
    </row>
    <row r="101" spans="1:14" x14ac:dyDescent="0.4">
      <c r="A101" s="2"/>
      <c r="B101" s="411"/>
      <c r="C101" s="3" t="s">
        <v>74</v>
      </c>
      <c r="D101" s="127">
        <v>158.13999999999999</v>
      </c>
      <c r="E101" s="436"/>
      <c r="F101" s="436"/>
      <c r="G101" s="436"/>
      <c r="H101" s="53"/>
      <c r="I101" s="53"/>
      <c r="J101" s="53"/>
      <c r="L101" s="53"/>
      <c r="M101" s="53"/>
      <c r="N101" s="53"/>
    </row>
    <row r="102" spans="1:14" s="1" customFormat="1" x14ac:dyDescent="0.4">
      <c r="B102" s="412"/>
      <c r="C102" s="413"/>
      <c r="D102" s="413"/>
      <c r="E102" s="413"/>
      <c r="F102" s="413"/>
      <c r="G102" s="414"/>
      <c r="I102" s="1" t="s">
        <v>693</v>
      </c>
      <c r="K102" s="8"/>
    </row>
    <row r="103" spans="1:14" x14ac:dyDescent="0.4">
      <c r="A103" s="2"/>
      <c r="B103" s="415" t="s">
        <v>1429</v>
      </c>
      <c r="C103" s="416"/>
      <c r="D103" s="416"/>
      <c r="E103" s="416"/>
      <c r="F103" s="416"/>
      <c r="G103" s="417"/>
      <c r="H103" s="53"/>
      <c r="I103" s="53"/>
      <c r="J103" s="53"/>
      <c r="L103" s="53"/>
      <c r="M103" s="53"/>
      <c r="N103" s="53"/>
    </row>
    <row r="104" spans="1:14" x14ac:dyDescent="0.4">
      <c r="A104" s="2"/>
      <c r="B104" s="363"/>
      <c r="C104" s="368"/>
      <c r="D104" s="368"/>
      <c r="E104" s="368"/>
      <c r="F104" s="368"/>
      <c r="G104" s="369"/>
      <c r="H104" s="53"/>
      <c r="I104" s="53"/>
      <c r="J104" s="53"/>
      <c r="L104" s="53"/>
      <c r="M104" s="53"/>
      <c r="N104" s="53"/>
    </row>
    <row r="105" spans="1:14" x14ac:dyDescent="0.4">
      <c r="C105" s="407"/>
      <c r="D105" s="407"/>
      <c r="E105" s="407"/>
      <c r="F105" s="407"/>
      <c r="G105" s="407"/>
      <c r="H105" s="53"/>
      <c r="I105" s="53" t="s">
        <v>693</v>
      </c>
    </row>
    <row r="106" spans="1:14" x14ac:dyDescent="0.4">
      <c r="A106" s="9">
        <v>14</v>
      </c>
      <c r="B106" s="61" t="s">
        <v>78</v>
      </c>
      <c r="C106" s="356" t="s">
        <v>41</v>
      </c>
      <c r="D106" s="357"/>
      <c r="E106" s="357"/>
      <c r="F106" s="357"/>
      <c r="G106" s="408"/>
    </row>
    <row r="107" spans="1:14" x14ac:dyDescent="0.4">
      <c r="C107" s="69"/>
      <c r="D107" s="69"/>
      <c r="E107" s="69"/>
      <c r="F107" s="69"/>
      <c r="G107" s="69"/>
    </row>
    <row r="109" spans="1:14" ht="12.7" customHeight="1" x14ac:dyDescent="0.4">
      <c r="B109" s="548" t="s">
        <v>1430</v>
      </c>
      <c r="C109" s="549"/>
      <c r="D109" s="549"/>
      <c r="E109" s="549"/>
      <c r="F109" s="549"/>
      <c r="G109" s="549"/>
      <c r="H109" s="295"/>
    </row>
    <row r="111" spans="1:14" ht="25.55" customHeight="1" x14ac:dyDescent="0.4">
      <c r="B111" s="538" t="s">
        <v>1431</v>
      </c>
      <c r="C111" s="538"/>
      <c r="D111" s="538"/>
      <c r="E111" s="538"/>
      <c r="F111" s="538"/>
      <c r="G111" s="538"/>
    </row>
    <row r="114" spans="3:5" x14ac:dyDescent="0.4">
      <c r="D114" s="107"/>
      <c r="E114" s="107"/>
    </row>
    <row r="115" spans="3:5" x14ac:dyDescent="0.4">
      <c r="E115" s="107"/>
    </row>
    <row r="116" spans="3:5" x14ac:dyDescent="0.4">
      <c r="C116" s="230"/>
    </row>
    <row r="118" spans="3:5" x14ac:dyDescent="0.4">
      <c r="C118" s="230"/>
    </row>
  </sheetData>
  <sheetProtection algorithmName="SHA-512" hashValue="vnH3Ka3KjtK0DgLIomBCADtaSEO6dWXt0TJBnFHk1r5ulS00rG9EsEe0VqEZwtipVRICmpzR0EpVE4KfeKpfuQ==" saltValue="P7S3DwFUWk+UkIuU8Uon1Q==" spinCount="100000" sheet="1" formatCells="0" formatColumns="0" formatRows="0" insertColumns="0" insertRows="0" insertHyperlinks="0" deleteColumns="0" deleteRows="0" sort="0" autoFilter="0" pivotTables="0"/>
  <mergeCells count="69">
    <mergeCell ref="C18:E18"/>
    <mergeCell ref="A1:B1"/>
    <mergeCell ref="C3:E3"/>
    <mergeCell ref="C5:E5"/>
    <mergeCell ref="B6:E6"/>
    <mergeCell ref="C8:E8"/>
    <mergeCell ref="B9:E9"/>
    <mergeCell ref="C11:E11"/>
    <mergeCell ref="B12:E12"/>
    <mergeCell ref="C14:E14"/>
    <mergeCell ref="B15:E15"/>
    <mergeCell ref="B17:E17"/>
    <mergeCell ref="C35:E35"/>
    <mergeCell ref="C19:E19"/>
    <mergeCell ref="C20:E20"/>
    <mergeCell ref="C21:E21"/>
    <mergeCell ref="C22:E22"/>
    <mergeCell ref="B25:E25"/>
    <mergeCell ref="B26:E26"/>
    <mergeCell ref="C28:C31"/>
    <mergeCell ref="D28:D31"/>
    <mergeCell ref="E28:E31"/>
    <mergeCell ref="B33:E33"/>
    <mergeCell ref="C34:E34"/>
    <mergeCell ref="C53:E53"/>
    <mergeCell ref="C36:E36"/>
    <mergeCell ref="B39:E39"/>
    <mergeCell ref="C40:E40"/>
    <mergeCell ref="C41:E41"/>
    <mergeCell ref="C42:E42"/>
    <mergeCell ref="B43:E43"/>
    <mergeCell ref="B45:E45"/>
    <mergeCell ref="B48:E48"/>
    <mergeCell ref="B50:E50"/>
    <mergeCell ref="B51:B52"/>
    <mergeCell ref="C51:E52"/>
    <mergeCell ref="B69:N69"/>
    <mergeCell ref="C54:E54"/>
    <mergeCell ref="B55:E55"/>
    <mergeCell ref="C57:E57"/>
    <mergeCell ref="C61:E61"/>
    <mergeCell ref="B63:B64"/>
    <mergeCell ref="C63:C64"/>
    <mergeCell ref="D63:D64"/>
    <mergeCell ref="E63:E64"/>
    <mergeCell ref="F63:H63"/>
    <mergeCell ref="I63:K63"/>
    <mergeCell ref="L63:N63"/>
    <mergeCell ref="C67:N67"/>
    <mergeCell ref="B68:N68"/>
    <mergeCell ref="B78:B83"/>
    <mergeCell ref="E78:E101"/>
    <mergeCell ref="F78:F101"/>
    <mergeCell ref="G78:G101"/>
    <mergeCell ref="B84:B89"/>
    <mergeCell ref="B70:N70"/>
    <mergeCell ref="B71:N71"/>
    <mergeCell ref="B72:N72"/>
    <mergeCell ref="B73:N73"/>
    <mergeCell ref="B75:G75"/>
    <mergeCell ref="C106:G106"/>
    <mergeCell ref="B109:G109"/>
    <mergeCell ref="B111:G111"/>
    <mergeCell ref="B90:B95"/>
    <mergeCell ref="B96:B101"/>
    <mergeCell ref="B102:G102"/>
    <mergeCell ref="B103:G103"/>
    <mergeCell ref="B104:G104"/>
    <mergeCell ref="C105:G105"/>
  </mergeCells>
  <pageMargins left="0.7" right="0.7" top="0.75" bottom="0.75" header="0.3" footer="0.3"/>
  <pageSetup paperSize="8" scale="80" orientation="landscape" verticalDpi="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N108"/>
  <sheetViews>
    <sheetView view="pageBreakPreview" topLeftCell="A73" zoomScale="60" zoomScaleNormal="115" workbookViewId="0">
      <selection activeCell="E77" sqref="E77:E92"/>
    </sheetView>
  </sheetViews>
  <sheetFormatPr defaultColWidth="8.84375" defaultRowHeight="13.25" x14ac:dyDescent="0.4"/>
  <cols>
    <col min="1" max="1" width="8.84375" style="8"/>
    <col min="2" max="2" width="40.84375" style="8" customWidth="1"/>
    <col min="3" max="3" width="38.07421875" style="8" customWidth="1"/>
    <col min="4" max="4" width="25.53515625" style="8" customWidth="1"/>
    <col min="5" max="5" width="20" style="8"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44" t="s">
        <v>1305</v>
      </c>
      <c r="D3" s="445"/>
      <c r="E3" s="358"/>
    </row>
    <row r="4" spans="1:5" x14ac:dyDescent="0.4">
      <c r="D4" s="5"/>
    </row>
    <row r="5" spans="1:5" x14ac:dyDescent="0.4">
      <c r="A5" s="36">
        <v>1</v>
      </c>
      <c r="B5" s="3" t="s">
        <v>3</v>
      </c>
      <c r="C5" s="458" t="s">
        <v>1091</v>
      </c>
      <c r="D5" s="458"/>
      <c r="E5" s="458"/>
    </row>
    <row r="6" spans="1:5" x14ac:dyDescent="0.4">
      <c r="A6" s="9"/>
      <c r="B6" s="480" t="s">
        <v>5</v>
      </c>
      <c r="C6" s="480"/>
      <c r="D6" s="480"/>
      <c r="E6" s="480"/>
    </row>
    <row r="7" spans="1:5" x14ac:dyDescent="0.4">
      <c r="A7" s="9"/>
      <c r="B7" s="11"/>
      <c r="D7" s="5"/>
    </row>
    <row r="8" spans="1:5" x14ac:dyDescent="0.4">
      <c r="A8" s="9">
        <v>2</v>
      </c>
      <c r="B8" s="3" t="s">
        <v>6</v>
      </c>
      <c r="C8" s="497" t="s">
        <v>1306</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1312</v>
      </c>
      <c r="D14" s="497"/>
      <c r="E14" s="497"/>
    </row>
    <row r="15" spans="1:5"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0.1124</v>
      </c>
      <c r="D18" s="367"/>
      <c r="E18" s="367"/>
      <c r="F18" s="15"/>
      <c r="G18" s="13"/>
      <c r="H18" s="13"/>
      <c r="I18" s="13"/>
      <c r="J18" s="13"/>
      <c r="K18" s="13"/>
      <c r="L18" s="13"/>
      <c r="M18" s="13"/>
      <c r="N18" s="13"/>
    </row>
    <row r="19" spans="1:14" ht="25.65" x14ac:dyDescent="0.4">
      <c r="A19" s="9"/>
      <c r="B19" s="14" t="s">
        <v>1307</v>
      </c>
      <c r="C19" s="367" t="s">
        <v>1308</v>
      </c>
      <c r="D19" s="354"/>
      <c r="E19" s="354"/>
      <c r="F19" s="15"/>
      <c r="G19" s="13"/>
      <c r="I19" s="13"/>
      <c r="J19" s="13"/>
      <c r="K19" s="13"/>
      <c r="L19" s="13"/>
      <c r="M19" s="13"/>
      <c r="N19" s="13"/>
    </row>
    <row r="20" spans="1:14" x14ac:dyDescent="0.4">
      <c r="A20" s="9"/>
      <c r="B20" s="14" t="s">
        <v>605</v>
      </c>
      <c r="C20" s="367" t="s">
        <v>1308</v>
      </c>
      <c r="D20" s="354"/>
      <c r="E20" s="354"/>
      <c r="F20" s="15"/>
      <c r="G20" s="13"/>
      <c r="H20" s="13"/>
      <c r="I20" s="13"/>
      <c r="J20" s="13"/>
      <c r="K20" s="13"/>
      <c r="L20" s="13"/>
      <c r="M20" s="13"/>
      <c r="N20" s="13"/>
    </row>
    <row r="21" spans="1:14" x14ac:dyDescent="0.4">
      <c r="A21" s="9"/>
      <c r="B21" s="14" t="s">
        <v>15</v>
      </c>
      <c r="C21" s="367" t="s">
        <v>1309</v>
      </c>
      <c r="D21" s="354"/>
      <c r="E21" s="354"/>
      <c r="F21" s="15"/>
      <c r="G21" s="13"/>
      <c r="H21" s="13"/>
      <c r="I21" s="13"/>
      <c r="J21" s="13"/>
      <c r="K21" s="13"/>
      <c r="L21" s="13"/>
      <c r="M21" s="13"/>
      <c r="N21" s="13"/>
    </row>
    <row r="22" spans="1:14" x14ac:dyDescent="0.4">
      <c r="A22" s="9"/>
      <c r="B22" s="14" t="s">
        <v>16</v>
      </c>
      <c r="C22" s="367" t="s">
        <v>1310</v>
      </c>
      <c r="D22" s="354"/>
      <c r="E22" s="354"/>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744</v>
      </c>
      <c r="E27" s="18" t="s">
        <v>23</v>
      </c>
      <c r="F27" s="15"/>
    </row>
    <row r="28" spans="1:14" ht="12.7" customHeight="1" x14ac:dyDescent="0.4">
      <c r="A28" s="9"/>
      <c r="B28" s="19" t="s">
        <v>1272</v>
      </c>
      <c r="C28" s="540" t="s">
        <v>1308</v>
      </c>
      <c r="D28" s="540" t="s">
        <v>1309</v>
      </c>
      <c r="E28" s="540" t="s">
        <v>1310</v>
      </c>
      <c r="F28" s="15"/>
    </row>
    <row r="29" spans="1:14" x14ac:dyDescent="0.4">
      <c r="A29" s="9"/>
      <c r="B29" s="19" t="s">
        <v>25</v>
      </c>
      <c r="C29" s="541"/>
      <c r="D29" s="541"/>
      <c r="E29" s="541"/>
      <c r="F29" s="15"/>
    </row>
    <row r="30" spans="1:14" x14ac:dyDescent="0.4">
      <c r="A30" s="9"/>
      <c r="B30" s="19" t="s">
        <v>26</v>
      </c>
      <c r="C30" s="541"/>
      <c r="D30" s="541"/>
      <c r="E30" s="541"/>
      <c r="F30" s="15"/>
    </row>
    <row r="31" spans="1:14" x14ac:dyDescent="0.4">
      <c r="A31" s="9"/>
      <c r="B31" s="19" t="s">
        <v>27</v>
      </c>
      <c r="C31" s="542"/>
      <c r="D31" s="542"/>
      <c r="E31" s="542"/>
      <c r="F31" s="15"/>
    </row>
    <row r="32" spans="1:14" x14ac:dyDescent="0.4">
      <c r="A32" s="9"/>
      <c r="B32" s="13"/>
      <c r="C32" s="15"/>
      <c r="D32" s="15"/>
      <c r="E32" s="15"/>
      <c r="F32" s="15"/>
    </row>
    <row r="33" spans="1:10" x14ac:dyDescent="0.4">
      <c r="A33" s="9">
        <v>7</v>
      </c>
      <c r="B33" s="365" t="s">
        <v>28</v>
      </c>
      <c r="C33" s="365"/>
      <c r="D33" s="365"/>
      <c r="E33" s="365"/>
      <c r="F33" s="11"/>
      <c r="G33" s="11"/>
      <c r="H33" s="11"/>
      <c r="I33" s="11"/>
      <c r="J33" s="11"/>
    </row>
    <row r="34" spans="1:10" x14ac:dyDescent="0.4">
      <c r="A34" s="9"/>
      <c r="B34" s="17" t="s">
        <v>29</v>
      </c>
      <c r="C34" s="446" t="s">
        <v>1308</v>
      </c>
      <c r="D34" s="446"/>
      <c r="E34" s="446"/>
      <c r="F34" s="13"/>
    </row>
    <row r="35" spans="1:10" x14ac:dyDescent="0.4">
      <c r="A35" s="9"/>
      <c r="B35" s="17" t="s">
        <v>31</v>
      </c>
      <c r="C35" s="446" t="s">
        <v>1309</v>
      </c>
      <c r="D35" s="446"/>
      <c r="E35" s="446"/>
      <c r="F35" s="13"/>
    </row>
    <row r="36" spans="1:10" x14ac:dyDescent="0.4">
      <c r="A36" s="9"/>
      <c r="B36" s="17" t="s">
        <v>32</v>
      </c>
      <c r="C36" s="446" t="s">
        <v>1310</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446" t="s">
        <v>1308</v>
      </c>
      <c r="D40" s="446"/>
      <c r="E40" s="446"/>
      <c r="F40" s="13"/>
    </row>
    <row r="41" spans="1:10" x14ac:dyDescent="0.4">
      <c r="A41" s="9"/>
      <c r="B41" s="17" t="s">
        <v>31</v>
      </c>
      <c r="C41" s="446" t="s">
        <v>1309</v>
      </c>
      <c r="D41" s="446"/>
      <c r="E41" s="446"/>
      <c r="F41" s="13"/>
    </row>
    <row r="42" spans="1:10" x14ac:dyDescent="0.4">
      <c r="A42" s="9"/>
      <c r="B42" s="17" t="s">
        <v>32</v>
      </c>
      <c r="C42" s="446" t="s">
        <v>1310</v>
      </c>
      <c r="D42" s="446"/>
      <c r="E42" s="446"/>
      <c r="F42" s="13"/>
    </row>
    <row r="43" spans="1:10" x14ac:dyDescent="0.4">
      <c r="A43" s="9"/>
      <c r="B43" s="363" t="s">
        <v>1315</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25.65" x14ac:dyDescent="0.4">
      <c r="A46" s="24"/>
      <c r="B46" s="26" t="s">
        <v>37</v>
      </c>
      <c r="C46" s="27" t="s">
        <v>38</v>
      </c>
      <c r="D46" s="28" t="s">
        <v>39</v>
      </c>
      <c r="E46" s="27" t="s">
        <v>206</v>
      </c>
    </row>
    <row r="47" spans="1:10" ht="92.8" x14ac:dyDescent="0.4">
      <c r="A47" s="29"/>
      <c r="B47" s="30" t="s">
        <v>1311</v>
      </c>
      <c r="C47" s="30" t="s">
        <v>1316</v>
      </c>
      <c r="D47" s="30" t="s">
        <v>1313</v>
      </c>
      <c r="E47" s="117" t="s">
        <v>83</v>
      </c>
    </row>
    <row r="48" spans="1:10" ht="12.7" customHeight="1" x14ac:dyDescent="0.4">
      <c r="A48" s="31"/>
      <c r="B48" s="518" t="s">
        <v>1314</v>
      </c>
      <c r="C48" s="518"/>
      <c r="D48" s="518"/>
      <c r="E48" s="518"/>
      <c r="F48" s="15"/>
      <c r="G48" s="15"/>
      <c r="H48" s="15"/>
    </row>
    <row r="49" spans="1:14" x14ac:dyDescent="0.4">
      <c r="A49" s="32"/>
      <c r="B49" s="543"/>
      <c r="C49" s="543"/>
      <c r="D49" s="543"/>
      <c r="E49" s="543"/>
      <c r="F49" s="15"/>
      <c r="G49" s="15"/>
      <c r="H49" s="15"/>
      <c r="I49" s="15"/>
    </row>
    <row r="50" spans="1:14" x14ac:dyDescent="0.4">
      <c r="A50" s="24">
        <v>10</v>
      </c>
      <c r="B50" s="376" t="s">
        <v>1085</v>
      </c>
      <c r="C50" s="365"/>
      <c r="D50" s="365"/>
      <c r="E50" s="365"/>
      <c r="F50" s="15"/>
      <c r="G50" s="15"/>
      <c r="H50" s="15"/>
    </row>
    <row r="51" spans="1:14" x14ac:dyDescent="0.4">
      <c r="A51" s="29"/>
      <c r="B51" s="383" t="s">
        <v>43</v>
      </c>
      <c r="C51" s="385" t="s">
        <v>1316</v>
      </c>
      <c r="D51" s="386"/>
      <c r="E51" s="387"/>
      <c r="K51" s="1"/>
    </row>
    <row r="52" spans="1:14" ht="46.5" customHeight="1" x14ac:dyDescent="0.4">
      <c r="A52" s="29"/>
      <c r="B52" s="384"/>
      <c r="C52" s="388"/>
      <c r="D52" s="389"/>
      <c r="E52" s="390"/>
      <c r="K52" s="1"/>
    </row>
    <row r="53" spans="1:14" ht="60.75" customHeight="1" x14ac:dyDescent="0.4">
      <c r="A53" s="24"/>
      <c r="B53" s="33" t="s">
        <v>44</v>
      </c>
      <c r="C53" s="391" t="s">
        <v>1313</v>
      </c>
      <c r="D53" s="391"/>
      <c r="E53" s="391"/>
    </row>
    <row r="54" spans="1:14" x14ac:dyDescent="0.4">
      <c r="A54" s="29"/>
      <c r="B54" s="33" t="s">
        <v>45</v>
      </c>
      <c r="C54" s="471" t="s">
        <v>46</v>
      </c>
      <c r="D54" s="472"/>
      <c r="E54" s="473"/>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1037</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11"/>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446" t="s">
        <v>914</v>
      </c>
      <c r="D61" s="446"/>
      <c r="E61" s="446"/>
      <c r="F61" s="44"/>
      <c r="G61" s="44"/>
      <c r="H61" s="15"/>
      <c r="I61" s="15"/>
      <c r="J61" s="15"/>
      <c r="K61" s="15"/>
      <c r="L61" s="15"/>
      <c r="M61" s="15"/>
      <c r="N61" s="15"/>
    </row>
    <row r="62" spans="1:14" x14ac:dyDescent="0.4">
      <c r="A62" s="9"/>
      <c r="B62" s="15"/>
      <c r="C62" s="15"/>
      <c r="D62" s="15"/>
      <c r="E62" s="15"/>
      <c r="F62" s="15"/>
      <c r="G62" s="44"/>
      <c r="H62" s="15"/>
      <c r="I62" s="15"/>
      <c r="J62" s="15"/>
      <c r="K62" s="15"/>
      <c r="L62" s="15"/>
      <c r="M62" s="15"/>
      <c r="N62" s="15"/>
    </row>
    <row r="63" spans="1:14" ht="30.05" customHeight="1" x14ac:dyDescent="0.4">
      <c r="A63" s="9"/>
      <c r="B63" s="365" t="s">
        <v>53</v>
      </c>
      <c r="C63" s="366" t="s">
        <v>1317</v>
      </c>
      <c r="D63" s="366" t="s">
        <v>1318</v>
      </c>
      <c r="E63" s="403" t="s">
        <v>1627</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114</v>
      </c>
      <c r="D65" s="101">
        <v>116</v>
      </c>
      <c r="E65" s="101">
        <v>121</v>
      </c>
      <c r="F65" s="101" t="s">
        <v>83</v>
      </c>
      <c r="G65" s="101" t="s">
        <v>83</v>
      </c>
      <c r="H65" s="101" t="s">
        <v>83</v>
      </c>
      <c r="I65" s="101" t="s">
        <v>83</v>
      </c>
      <c r="J65" s="101" t="s">
        <v>83</v>
      </c>
      <c r="K65" s="101" t="s">
        <v>83</v>
      </c>
      <c r="L65" s="101" t="s">
        <v>83</v>
      </c>
      <c r="M65" s="101" t="s">
        <v>83</v>
      </c>
      <c r="N65" s="101" t="s">
        <v>83</v>
      </c>
    </row>
    <row r="66" spans="1:14" ht="25.65" x14ac:dyDescent="0.4">
      <c r="A66" s="2"/>
      <c r="B66" s="17" t="s">
        <v>918</v>
      </c>
      <c r="C66" s="101">
        <v>19664.7</v>
      </c>
      <c r="D66" s="101">
        <v>19122.150000000001</v>
      </c>
      <c r="E66" s="101">
        <v>21441.35</v>
      </c>
      <c r="F66" s="101" t="s">
        <v>83</v>
      </c>
      <c r="G66" s="101" t="s">
        <v>83</v>
      </c>
      <c r="H66" s="101" t="s">
        <v>83</v>
      </c>
      <c r="I66" s="101" t="s">
        <v>83</v>
      </c>
      <c r="J66" s="101" t="s">
        <v>83</v>
      </c>
      <c r="K66" s="101" t="s">
        <v>83</v>
      </c>
      <c r="L66" s="101" t="s">
        <v>83</v>
      </c>
      <c r="M66" s="101" t="s">
        <v>83</v>
      </c>
      <c r="N66" s="101" t="s">
        <v>83</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551" t="s">
        <v>1092</v>
      </c>
      <c r="C68" s="545"/>
      <c r="D68" s="545"/>
      <c r="E68" s="545"/>
      <c r="F68" s="545"/>
      <c r="G68" s="545"/>
      <c r="H68" s="545"/>
      <c r="I68" s="545"/>
      <c r="J68" s="545"/>
      <c r="K68" s="545"/>
      <c r="L68" s="545"/>
      <c r="M68" s="545"/>
      <c r="N68" s="545"/>
    </row>
    <row r="69" spans="1:14" x14ac:dyDescent="0.4">
      <c r="A69" s="2"/>
      <c r="B69" s="480" t="s">
        <v>63</v>
      </c>
      <c r="C69" s="480"/>
      <c r="D69" s="480"/>
      <c r="E69" s="480"/>
      <c r="F69" s="480"/>
      <c r="G69" s="480"/>
      <c r="H69" s="480"/>
      <c r="I69" s="480"/>
      <c r="J69" s="480"/>
      <c r="K69" s="480"/>
      <c r="L69" s="480"/>
      <c r="M69" s="480"/>
      <c r="N69" s="480"/>
    </row>
    <row r="70" spans="1:14" s="1" customFormat="1" x14ac:dyDescent="0.4">
      <c r="B70" s="474" t="s">
        <v>64</v>
      </c>
      <c r="C70" s="474"/>
      <c r="D70" s="474"/>
      <c r="E70" s="474"/>
      <c r="F70" s="474"/>
      <c r="G70" s="474"/>
      <c r="H70" s="474"/>
      <c r="I70" s="474"/>
      <c r="J70" s="474"/>
      <c r="K70" s="474"/>
      <c r="L70" s="474"/>
      <c r="M70" s="474"/>
      <c r="N70" s="474"/>
    </row>
    <row r="71" spans="1:14" x14ac:dyDescent="0.4">
      <c r="A71" s="2"/>
      <c r="B71" s="359" t="s">
        <v>358</v>
      </c>
      <c r="C71" s="359"/>
      <c r="D71" s="359"/>
      <c r="E71" s="359"/>
      <c r="F71" s="359"/>
      <c r="G71" s="359"/>
      <c r="H71" s="359"/>
      <c r="I71" s="359"/>
      <c r="J71" s="359"/>
      <c r="K71" s="359"/>
      <c r="L71" s="359"/>
      <c r="M71" s="359"/>
      <c r="N71" s="359"/>
    </row>
    <row r="72" spans="1:14" x14ac:dyDescent="0.4">
      <c r="A72" s="2"/>
      <c r="B72" s="359" t="s">
        <v>65</v>
      </c>
      <c r="C72" s="359"/>
      <c r="D72" s="359"/>
      <c r="E72" s="359"/>
      <c r="F72" s="359"/>
      <c r="G72" s="359"/>
      <c r="H72" s="359"/>
      <c r="I72" s="359"/>
      <c r="J72" s="359"/>
      <c r="K72" s="359"/>
      <c r="L72" s="359"/>
      <c r="M72" s="359"/>
      <c r="N72" s="359"/>
    </row>
    <row r="73" spans="1:14" x14ac:dyDescent="0.4">
      <c r="A73" s="2"/>
      <c r="B73" s="49"/>
      <c r="C73" s="49"/>
      <c r="D73" s="49"/>
      <c r="E73" s="49"/>
      <c r="F73" s="49"/>
      <c r="G73" s="13"/>
      <c r="H73" s="13"/>
      <c r="I73" s="13"/>
      <c r="J73" s="13"/>
      <c r="K73" s="13"/>
      <c r="L73" s="13"/>
      <c r="M73" s="13"/>
      <c r="N73" s="13"/>
    </row>
    <row r="74" spans="1:14" ht="29.3" customHeight="1" x14ac:dyDescent="0.4">
      <c r="A74" s="9">
        <v>13</v>
      </c>
      <c r="B74" s="405" t="s">
        <v>66</v>
      </c>
      <c r="C74" s="406"/>
      <c r="D74" s="406"/>
      <c r="E74" s="406"/>
      <c r="F74" s="406"/>
      <c r="G74" s="376"/>
      <c r="H74" s="11"/>
      <c r="I74" s="11"/>
      <c r="J74" s="11"/>
      <c r="K74" s="11"/>
      <c r="L74" s="11"/>
      <c r="M74" s="11"/>
      <c r="N74" s="11"/>
    </row>
    <row r="75" spans="1:14" x14ac:dyDescent="0.4">
      <c r="A75" s="9"/>
      <c r="C75" s="15"/>
      <c r="D75" s="15"/>
      <c r="E75" s="15"/>
      <c r="F75" s="15"/>
      <c r="G75" s="15"/>
      <c r="H75" s="15"/>
      <c r="I75" s="15"/>
      <c r="J75" s="15"/>
      <c r="K75" s="15"/>
      <c r="L75" s="15"/>
      <c r="M75" s="15"/>
      <c r="N75" s="15"/>
    </row>
    <row r="76" spans="1:14" ht="25.65" x14ac:dyDescent="0.4">
      <c r="A76" s="2"/>
      <c r="B76" s="50" t="s">
        <v>67</v>
      </c>
      <c r="C76" s="18" t="s">
        <v>68</v>
      </c>
      <c r="D76" s="18" t="s">
        <v>1127</v>
      </c>
      <c r="E76" s="18" t="s">
        <v>218</v>
      </c>
      <c r="F76" s="18" t="s">
        <v>71</v>
      </c>
      <c r="G76" s="18" t="s">
        <v>107</v>
      </c>
      <c r="H76" s="13"/>
      <c r="I76" s="13"/>
      <c r="J76" s="13"/>
      <c r="K76" s="13"/>
      <c r="L76" s="13"/>
      <c r="M76" s="13"/>
      <c r="N76" s="13"/>
    </row>
    <row r="77" spans="1:14" ht="25.55" customHeight="1" x14ac:dyDescent="0.4">
      <c r="A77" s="2"/>
      <c r="B77" s="394" t="s">
        <v>1271</v>
      </c>
      <c r="C77" s="21" t="s">
        <v>1323</v>
      </c>
      <c r="D77" s="151">
        <v>6.94</v>
      </c>
      <c r="E77" s="435" t="s">
        <v>1320</v>
      </c>
      <c r="F77" s="435" t="s">
        <v>1321</v>
      </c>
      <c r="G77" s="435" t="s">
        <v>1322</v>
      </c>
      <c r="H77" s="53"/>
      <c r="I77" s="53"/>
      <c r="J77" s="53"/>
      <c r="K77" s="53"/>
      <c r="L77" s="53"/>
      <c r="M77" s="53"/>
      <c r="N77" s="53"/>
    </row>
    <row r="78" spans="1:14" x14ac:dyDescent="0.4">
      <c r="A78" s="2"/>
      <c r="B78" s="394"/>
      <c r="C78" s="3" t="s">
        <v>765</v>
      </c>
      <c r="D78" s="151"/>
      <c r="E78" s="436"/>
      <c r="F78" s="436"/>
      <c r="G78" s="436"/>
      <c r="H78" s="53"/>
      <c r="I78" s="53"/>
      <c r="J78" s="53"/>
      <c r="K78" s="53"/>
      <c r="L78" s="53"/>
      <c r="M78" s="53"/>
      <c r="N78" s="53"/>
    </row>
    <row r="79" spans="1:14" x14ac:dyDescent="0.4">
      <c r="A79" s="2"/>
      <c r="B79" s="394"/>
      <c r="C79" s="21" t="s">
        <v>1319</v>
      </c>
      <c r="D79" s="151">
        <v>1.48</v>
      </c>
      <c r="E79" s="436"/>
      <c r="F79" s="436"/>
      <c r="G79" s="436"/>
      <c r="H79" s="53"/>
      <c r="I79" s="53"/>
      <c r="J79" s="53"/>
      <c r="K79" s="53"/>
      <c r="L79" s="53"/>
      <c r="M79" s="53"/>
      <c r="N79" s="53"/>
    </row>
    <row r="80" spans="1:14" x14ac:dyDescent="0.4">
      <c r="A80" s="2"/>
      <c r="B80" s="394"/>
      <c r="C80" s="3" t="s">
        <v>74</v>
      </c>
      <c r="D80" s="276"/>
      <c r="E80" s="436"/>
      <c r="F80" s="436"/>
      <c r="G80" s="436"/>
      <c r="H80" s="53"/>
      <c r="I80" s="53"/>
      <c r="J80" s="53"/>
      <c r="K80" s="53"/>
      <c r="L80" s="53"/>
      <c r="M80" s="53"/>
      <c r="N80" s="53"/>
    </row>
    <row r="81" spans="1:14" x14ac:dyDescent="0.4">
      <c r="A81" s="2"/>
      <c r="B81" s="394" t="s">
        <v>75</v>
      </c>
      <c r="C81" s="21" t="s">
        <v>1323</v>
      </c>
      <c r="D81" s="154">
        <v>10.09</v>
      </c>
      <c r="E81" s="436"/>
      <c r="F81" s="436"/>
      <c r="G81" s="436"/>
      <c r="H81" s="53"/>
      <c r="I81" s="53"/>
      <c r="J81" s="53"/>
      <c r="K81" s="53"/>
      <c r="L81" s="53"/>
      <c r="M81" s="53"/>
      <c r="N81" s="53"/>
    </row>
    <row r="82" spans="1:14" x14ac:dyDescent="0.4">
      <c r="A82" s="2"/>
      <c r="B82" s="394"/>
      <c r="C82" s="3" t="s">
        <v>765</v>
      </c>
      <c r="D82" s="151"/>
      <c r="E82" s="436"/>
      <c r="F82" s="436"/>
      <c r="G82" s="436"/>
      <c r="H82" s="53"/>
      <c r="I82" s="53"/>
      <c r="J82" s="53"/>
      <c r="K82" s="53"/>
      <c r="L82" s="53"/>
      <c r="M82" s="53"/>
      <c r="N82" s="53"/>
    </row>
    <row r="83" spans="1:14" x14ac:dyDescent="0.4">
      <c r="A83" s="2"/>
      <c r="B83" s="394"/>
      <c r="C83" s="21" t="s">
        <v>1319</v>
      </c>
      <c r="D83" s="151">
        <v>34.25</v>
      </c>
      <c r="E83" s="436"/>
      <c r="F83" s="436"/>
      <c r="G83" s="436"/>
      <c r="H83" s="53"/>
      <c r="I83" s="53"/>
      <c r="J83" s="53"/>
      <c r="K83" s="53"/>
      <c r="L83" s="53"/>
      <c r="M83" s="53"/>
      <c r="N83" s="53"/>
    </row>
    <row r="84" spans="1:14" x14ac:dyDescent="0.4">
      <c r="A84" s="2"/>
      <c r="B84" s="394"/>
      <c r="C84" s="3" t="s">
        <v>74</v>
      </c>
      <c r="D84" s="276"/>
      <c r="E84" s="436"/>
      <c r="F84" s="436"/>
      <c r="G84" s="436"/>
      <c r="H84" s="53"/>
      <c r="I84" s="53"/>
      <c r="J84" s="53"/>
      <c r="K84" s="53"/>
      <c r="L84" s="53"/>
      <c r="M84" s="53"/>
      <c r="N84" s="53"/>
    </row>
    <row r="85" spans="1:14" x14ac:dyDescent="0.4">
      <c r="A85" s="2"/>
      <c r="B85" s="394" t="s">
        <v>76</v>
      </c>
      <c r="C85" s="21" t="s">
        <v>1323</v>
      </c>
      <c r="D85" s="277">
        <v>0.52400000000000002</v>
      </c>
      <c r="E85" s="436"/>
      <c r="F85" s="436"/>
      <c r="G85" s="436"/>
      <c r="H85" s="53"/>
      <c r="I85" s="53"/>
      <c r="J85" s="53"/>
      <c r="K85" s="53"/>
      <c r="L85" s="53"/>
      <c r="M85" s="53"/>
      <c r="N85" s="53"/>
    </row>
    <row r="86" spans="1:14" x14ac:dyDescent="0.4">
      <c r="A86" s="2"/>
      <c r="B86" s="394"/>
      <c r="C86" s="3" t="s">
        <v>765</v>
      </c>
      <c r="D86" s="151"/>
      <c r="E86" s="436"/>
      <c r="F86" s="436"/>
      <c r="G86" s="436"/>
      <c r="H86" s="53"/>
      <c r="I86" s="53"/>
      <c r="J86" s="53"/>
      <c r="K86" s="53"/>
      <c r="L86" s="53"/>
      <c r="M86" s="53"/>
      <c r="N86" s="53"/>
    </row>
    <row r="87" spans="1:14" x14ac:dyDescent="0.4">
      <c r="A87" s="2"/>
      <c r="B87" s="394"/>
      <c r="C87" s="21" t="s">
        <v>1319</v>
      </c>
      <c r="D87" s="277">
        <v>7.3800000000000004E-2</v>
      </c>
      <c r="E87" s="436"/>
      <c r="F87" s="436"/>
      <c r="G87" s="436"/>
      <c r="H87" s="53"/>
      <c r="I87" s="53"/>
      <c r="J87" s="53"/>
      <c r="K87" s="53"/>
      <c r="L87" s="53"/>
      <c r="M87" s="53"/>
      <c r="N87" s="53"/>
    </row>
    <row r="88" spans="1:14" x14ac:dyDescent="0.4">
      <c r="A88" s="2"/>
      <c r="B88" s="394"/>
      <c r="C88" s="3" t="s">
        <v>74</v>
      </c>
      <c r="D88" s="276"/>
      <c r="E88" s="436"/>
      <c r="F88" s="436"/>
      <c r="G88" s="436"/>
      <c r="H88" s="53"/>
      <c r="I88" s="53"/>
      <c r="J88" s="53"/>
      <c r="K88" s="53"/>
      <c r="L88" s="53"/>
      <c r="M88" s="53"/>
      <c r="N88" s="53"/>
    </row>
    <row r="89" spans="1:14" x14ac:dyDescent="0.4">
      <c r="A89" s="2"/>
      <c r="B89" s="394" t="s">
        <v>77</v>
      </c>
      <c r="C89" s="21" t="s">
        <v>1323</v>
      </c>
      <c r="D89" s="152">
        <v>13.24</v>
      </c>
      <c r="E89" s="436"/>
      <c r="F89" s="436"/>
      <c r="G89" s="436"/>
      <c r="H89" s="53"/>
      <c r="I89" s="53"/>
      <c r="J89" s="53"/>
      <c r="K89" s="53"/>
      <c r="L89" s="53"/>
      <c r="M89" s="53"/>
      <c r="N89" s="53"/>
    </row>
    <row r="90" spans="1:14" x14ac:dyDescent="0.4">
      <c r="A90" s="2"/>
      <c r="B90" s="394"/>
      <c r="C90" s="3" t="s">
        <v>765</v>
      </c>
      <c r="D90" s="151"/>
      <c r="E90" s="436"/>
      <c r="F90" s="436"/>
      <c r="G90" s="436"/>
      <c r="H90" s="53"/>
      <c r="I90" s="53"/>
      <c r="J90" s="53"/>
      <c r="K90" s="53"/>
      <c r="L90" s="53"/>
      <c r="M90" s="53"/>
      <c r="N90" s="53"/>
    </row>
    <row r="91" spans="1:14" x14ac:dyDescent="0.4">
      <c r="A91" s="2"/>
      <c r="B91" s="411"/>
      <c r="C91" s="21" t="s">
        <v>1319</v>
      </c>
      <c r="D91" s="151">
        <v>21.5</v>
      </c>
      <c r="E91" s="436"/>
      <c r="F91" s="436"/>
      <c r="G91" s="436"/>
      <c r="H91" s="53"/>
      <c r="I91" s="53"/>
      <c r="J91" s="53"/>
      <c r="K91" s="53"/>
      <c r="L91" s="53"/>
      <c r="M91" s="53"/>
      <c r="N91" s="53"/>
    </row>
    <row r="92" spans="1:14" x14ac:dyDescent="0.4">
      <c r="A92" s="2"/>
      <c r="B92" s="411"/>
      <c r="C92" s="3" t="s">
        <v>74</v>
      </c>
      <c r="D92" s="153"/>
      <c r="E92" s="436"/>
      <c r="F92" s="436"/>
      <c r="G92" s="436"/>
      <c r="H92" s="53"/>
      <c r="I92" s="53"/>
      <c r="J92" s="53"/>
      <c r="K92" s="53"/>
      <c r="L92" s="53"/>
      <c r="M92" s="53"/>
      <c r="N92" s="53"/>
    </row>
    <row r="93" spans="1:14" s="1" customFormat="1" x14ac:dyDescent="0.4">
      <c r="B93" s="412"/>
      <c r="C93" s="413"/>
      <c r="D93" s="413"/>
      <c r="E93" s="413"/>
      <c r="F93" s="413"/>
      <c r="G93" s="414"/>
    </row>
    <row r="94" spans="1:14" x14ac:dyDescent="0.4">
      <c r="A94" s="2"/>
      <c r="B94" s="415" t="s">
        <v>1324</v>
      </c>
      <c r="C94" s="416"/>
      <c r="D94" s="416"/>
      <c r="E94" s="416"/>
      <c r="F94" s="416"/>
      <c r="G94" s="417"/>
      <c r="H94" s="53"/>
      <c r="I94" s="53"/>
      <c r="J94" s="53"/>
      <c r="K94" s="53"/>
      <c r="L94" s="53"/>
      <c r="M94" s="53"/>
      <c r="N94" s="53"/>
    </row>
    <row r="95" spans="1:14" x14ac:dyDescent="0.4">
      <c r="A95" s="2"/>
      <c r="B95" s="418" t="s">
        <v>85</v>
      </c>
      <c r="C95" s="419"/>
      <c r="D95" s="419"/>
      <c r="E95" s="419"/>
      <c r="F95" s="419"/>
      <c r="G95" s="420"/>
      <c r="H95" s="53"/>
      <c r="I95" s="53"/>
      <c r="J95" s="53"/>
      <c r="K95" s="53"/>
      <c r="L95" s="53"/>
      <c r="M95" s="53"/>
      <c r="N95" s="53"/>
    </row>
    <row r="96" spans="1:14" x14ac:dyDescent="0.4">
      <c r="A96" s="2"/>
      <c r="B96" s="363"/>
      <c r="C96" s="368"/>
      <c r="D96" s="368"/>
      <c r="E96" s="368"/>
      <c r="F96" s="368"/>
      <c r="G96" s="369"/>
      <c r="H96" s="53"/>
      <c r="I96" s="53"/>
      <c r="J96" s="53"/>
      <c r="K96" s="53"/>
      <c r="L96" s="53"/>
      <c r="M96" s="53"/>
      <c r="N96" s="53"/>
    </row>
    <row r="97" spans="1:9" x14ac:dyDescent="0.4">
      <c r="C97" s="407"/>
      <c r="D97" s="407"/>
      <c r="E97" s="407"/>
      <c r="F97" s="407"/>
      <c r="G97" s="407"/>
      <c r="H97" s="53"/>
      <c r="I97" s="53"/>
    </row>
    <row r="98" spans="1:9" x14ac:dyDescent="0.4">
      <c r="A98" s="9">
        <v>14</v>
      </c>
      <c r="B98" s="61" t="s">
        <v>78</v>
      </c>
      <c r="C98" s="458" t="s">
        <v>41</v>
      </c>
      <c r="D98" s="458"/>
      <c r="E98" s="458"/>
      <c r="F98" s="458"/>
      <c r="G98" s="458"/>
    </row>
    <row r="99" spans="1:9" x14ac:dyDescent="0.4">
      <c r="A99" s="23"/>
      <c r="B99" s="448"/>
      <c r="C99" s="449"/>
      <c r="D99" s="449"/>
      <c r="E99" s="449"/>
      <c r="F99" s="449"/>
      <c r="G99" s="450"/>
    </row>
    <row r="102" spans="1:9" x14ac:dyDescent="0.4">
      <c r="B102" s="548" t="s">
        <v>1325</v>
      </c>
      <c r="C102" s="549"/>
      <c r="D102" s="549"/>
      <c r="E102" s="549"/>
      <c r="F102" s="549"/>
      <c r="G102" s="549"/>
      <c r="H102" s="295"/>
    </row>
    <row r="104" spans="1:9" x14ac:dyDescent="0.4">
      <c r="B104" s="539" t="s">
        <v>1298</v>
      </c>
      <c r="C104" s="539"/>
      <c r="D104" s="539"/>
      <c r="E104" s="539"/>
      <c r="F104" s="539"/>
      <c r="G104" s="539"/>
    </row>
    <row r="106" spans="1:9" x14ac:dyDescent="0.4">
      <c r="C106" s="230"/>
      <c r="D106" s="230"/>
    </row>
    <row r="107" spans="1:9" x14ac:dyDescent="0.4">
      <c r="D107" s="107"/>
      <c r="E107" s="107"/>
    </row>
    <row r="108" spans="1:9" x14ac:dyDescent="0.4">
      <c r="C108" s="230"/>
      <c r="D108" s="230"/>
      <c r="E108" s="107"/>
    </row>
  </sheetData>
  <sheetProtection algorithmName="SHA-512" hashValue="d8qU/RnX0EiqZNuKL+GMw1KuU+wWIyXB1wBga/KWLLRuKRVK1+chA+fzEHOM2FNMJbIrZRaAeNmxNr1bV2npPg==" saltValue="UnKUX8G9XbwHs+oaa0urYg==" spinCount="100000" sheet="1" objects="1" scenarios="1"/>
  <mergeCells count="70">
    <mergeCell ref="C18:E18"/>
    <mergeCell ref="A1:B1"/>
    <mergeCell ref="C3:E3"/>
    <mergeCell ref="C5:E5"/>
    <mergeCell ref="B6:E6"/>
    <mergeCell ref="C8:E8"/>
    <mergeCell ref="B9:E9"/>
    <mergeCell ref="C11:E11"/>
    <mergeCell ref="B12:E12"/>
    <mergeCell ref="C14:E14"/>
    <mergeCell ref="B15:E15"/>
    <mergeCell ref="B17:E17"/>
    <mergeCell ref="B39:E39"/>
    <mergeCell ref="C19:E19"/>
    <mergeCell ref="C20:E20"/>
    <mergeCell ref="C21:E21"/>
    <mergeCell ref="C22:E22"/>
    <mergeCell ref="B25:E25"/>
    <mergeCell ref="B26:E26"/>
    <mergeCell ref="E28:E31"/>
    <mergeCell ref="B33:E33"/>
    <mergeCell ref="C34:E34"/>
    <mergeCell ref="C35:E35"/>
    <mergeCell ref="C36:E36"/>
    <mergeCell ref="B55:E55"/>
    <mergeCell ref="C40:E40"/>
    <mergeCell ref="C41:E41"/>
    <mergeCell ref="C42:E42"/>
    <mergeCell ref="B43:E43"/>
    <mergeCell ref="B45:E45"/>
    <mergeCell ref="B50:E50"/>
    <mergeCell ref="B51:B52"/>
    <mergeCell ref="C51:E52"/>
    <mergeCell ref="C53:E53"/>
    <mergeCell ref="C54:E54"/>
    <mergeCell ref="B69:N69"/>
    <mergeCell ref="C57:E57"/>
    <mergeCell ref="C61:E61"/>
    <mergeCell ref="B63:B64"/>
    <mergeCell ref="C63:C64"/>
    <mergeCell ref="D63:D64"/>
    <mergeCell ref="E63:E64"/>
    <mergeCell ref="F63:H63"/>
    <mergeCell ref="I63:K63"/>
    <mergeCell ref="L63:N63"/>
    <mergeCell ref="C67:N67"/>
    <mergeCell ref="B68:N68"/>
    <mergeCell ref="B72:N72"/>
    <mergeCell ref="B74:G74"/>
    <mergeCell ref="B77:B80"/>
    <mergeCell ref="G77:G92"/>
    <mergeCell ref="B81:B84"/>
    <mergeCell ref="B85:B88"/>
    <mergeCell ref="B89:B92"/>
    <mergeCell ref="B99:G99"/>
    <mergeCell ref="B102:G102"/>
    <mergeCell ref="B104:G104"/>
    <mergeCell ref="C28:C31"/>
    <mergeCell ref="D28:D31"/>
    <mergeCell ref="B48:E49"/>
    <mergeCell ref="E77:E92"/>
    <mergeCell ref="F77:F92"/>
    <mergeCell ref="B93:G93"/>
    <mergeCell ref="B94:G94"/>
    <mergeCell ref="B95:G95"/>
    <mergeCell ref="B96:G96"/>
    <mergeCell ref="C97:G97"/>
    <mergeCell ref="C98:G98"/>
    <mergeCell ref="B70:N70"/>
    <mergeCell ref="B71:N71"/>
  </mergeCells>
  <pageMargins left="0.7" right="0.7" top="0.75" bottom="0.75" header="0.3" footer="0.3"/>
  <pageSetup paperSize="8" scale="82" orientation="landscape" verticalDpi="0" r:id="rId1"/>
  <rowBreaks count="1" manualBreakCount="1">
    <brk id="51" max="13"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N102"/>
  <sheetViews>
    <sheetView view="pageBreakPreview" topLeftCell="A72" zoomScale="80" zoomScaleNormal="100" zoomScaleSheetLayoutView="80" zoomScalePageLayoutView="50" workbookViewId="0">
      <selection activeCell="B89" sqref="B89:G89"/>
    </sheetView>
  </sheetViews>
  <sheetFormatPr defaultColWidth="8.84375" defaultRowHeight="13.25" x14ac:dyDescent="0.4"/>
  <cols>
    <col min="1" max="1" width="8.84375" style="8"/>
    <col min="2" max="2" width="40.84375" style="8" customWidth="1"/>
    <col min="3" max="3" width="38.07421875" style="8" customWidth="1"/>
    <col min="4" max="4" width="25.53515625" style="8" customWidth="1"/>
    <col min="5" max="5" width="15.07421875" style="8" customWidth="1"/>
    <col min="6" max="6" width="11.3046875" style="8" customWidth="1"/>
    <col min="7" max="7" width="12.69140625" style="8" customWidth="1"/>
    <col min="8" max="8" width="9.3046875" style="8" bestFit="1" customWidth="1"/>
    <col min="9" max="16384" width="8.84375" style="8"/>
  </cols>
  <sheetData>
    <row r="1" spans="1:5" x14ac:dyDescent="0.4">
      <c r="A1" s="355" t="s">
        <v>0</v>
      </c>
      <c r="B1" s="355"/>
      <c r="D1" s="1"/>
    </row>
    <row r="3" spans="1:5" x14ac:dyDescent="0.4">
      <c r="A3" s="2" t="s">
        <v>1</v>
      </c>
      <c r="B3" s="3" t="s">
        <v>2</v>
      </c>
      <c r="C3" s="444" t="s">
        <v>1292</v>
      </c>
      <c r="D3" s="445"/>
      <c r="E3" s="358"/>
    </row>
    <row r="4" spans="1:5" x14ac:dyDescent="0.4">
      <c r="D4" s="5"/>
    </row>
    <row r="5" spans="1:5" x14ac:dyDescent="0.4">
      <c r="A5" s="36">
        <v>1</v>
      </c>
      <c r="B5" s="3" t="s">
        <v>3</v>
      </c>
      <c r="C5" s="458" t="s">
        <v>1091</v>
      </c>
      <c r="D5" s="458"/>
      <c r="E5" s="458"/>
    </row>
    <row r="6" spans="1:5" x14ac:dyDescent="0.4">
      <c r="A6" s="9"/>
      <c r="B6" s="480" t="s">
        <v>5</v>
      </c>
      <c r="C6" s="480"/>
      <c r="D6" s="480"/>
      <c r="E6" s="480"/>
    </row>
    <row r="7" spans="1:5" x14ac:dyDescent="0.4">
      <c r="A7" s="9"/>
      <c r="B7" s="11"/>
      <c r="D7" s="5"/>
    </row>
    <row r="8" spans="1:5" x14ac:dyDescent="0.4">
      <c r="A8" s="9">
        <v>2</v>
      </c>
      <c r="B8" s="3" t="s">
        <v>6</v>
      </c>
      <c r="C8" s="497" t="s">
        <v>1293</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1326</v>
      </c>
      <c r="D14" s="497"/>
      <c r="E14" s="497"/>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367">
        <v>9.4700000000000006E-2</v>
      </c>
      <c r="D18" s="367"/>
      <c r="E18" s="367"/>
      <c r="F18" s="15"/>
      <c r="G18" s="13"/>
      <c r="H18" s="13"/>
      <c r="I18" s="13"/>
      <c r="J18" s="13"/>
      <c r="K18" s="13"/>
      <c r="L18" s="13"/>
      <c r="M18" s="13"/>
      <c r="N18" s="13"/>
    </row>
    <row r="19" spans="1:14" ht="25.65" x14ac:dyDescent="0.4">
      <c r="A19" s="9"/>
      <c r="B19" s="14" t="s">
        <v>1307</v>
      </c>
      <c r="C19" s="367"/>
      <c r="D19" s="367"/>
      <c r="E19" s="367"/>
      <c r="F19" s="15"/>
      <c r="G19" s="13"/>
      <c r="I19" s="13"/>
      <c r="J19" s="13"/>
      <c r="K19" s="13"/>
      <c r="L19" s="13"/>
      <c r="M19" s="13"/>
      <c r="N19" s="13"/>
    </row>
    <row r="20" spans="1:14" x14ac:dyDescent="0.4">
      <c r="A20" s="9"/>
      <c r="B20" s="14" t="s">
        <v>605</v>
      </c>
      <c r="C20" s="367" t="s">
        <v>1294</v>
      </c>
      <c r="D20" s="354"/>
      <c r="E20" s="354"/>
      <c r="F20" s="15"/>
      <c r="G20" s="13"/>
      <c r="H20" s="13"/>
      <c r="I20" s="13"/>
      <c r="J20" s="13"/>
      <c r="K20" s="13"/>
      <c r="L20" s="13"/>
      <c r="M20" s="13"/>
      <c r="N20" s="13"/>
    </row>
    <row r="21" spans="1:14" x14ac:dyDescent="0.4">
      <c r="A21" s="9"/>
      <c r="B21" s="14" t="s">
        <v>15</v>
      </c>
      <c r="C21" s="367" t="s">
        <v>1303</v>
      </c>
      <c r="D21" s="354"/>
      <c r="E21" s="354"/>
      <c r="F21" s="15"/>
      <c r="G21" s="13"/>
      <c r="H21" s="13"/>
      <c r="I21" s="13"/>
      <c r="J21" s="13"/>
      <c r="K21" s="13"/>
      <c r="L21" s="13"/>
      <c r="M21" s="13"/>
      <c r="N21" s="13"/>
    </row>
    <row r="22" spans="1:14" x14ac:dyDescent="0.4">
      <c r="A22" s="9"/>
      <c r="B22" s="14" t="s">
        <v>16</v>
      </c>
      <c r="C22" s="367" t="s">
        <v>1304</v>
      </c>
      <c r="D22" s="354"/>
      <c r="E22" s="354"/>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744</v>
      </c>
      <c r="E27" s="18" t="s">
        <v>23</v>
      </c>
      <c r="F27" s="15"/>
    </row>
    <row r="28" spans="1:14" ht="12.7" customHeight="1" x14ac:dyDescent="0.4">
      <c r="A28" s="9"/>
      <c r="B28" s="19" t="s">
        <v>1272</v>
      </c>
      <c r="C28" s="540" t="s">
        <v>1294</v>
      </c>
      <c r="D28" s="540" t="s">
        <v>1303</v>
      </c>
      <c r="E28" s="540" t="s">
        <v>1304</v>
      </c>
      <c r="F28" s="15"/>
    </row>
    <row r="29" spans="1:14" x14ac:dyDescent="0.4">
      <c r="A29" s="9"/>
      <c r="B29" s="19" t="s">
        <v>25</v>
      </c>
      <c r="C29" s="541"/>
      <c r="D29" s="541"/>
      <c r="E29" s="541"/>
      <c r="F29" s="15"/>
    </row>
    <row r="30" spans="1:14" x14ac:dyDescent="0.4">
      <c r="A30" s="9"/>
      <c r="B30" s="19" t="s">
        <v>26</v>
      </c>
      <c r="C30" s="541"/>
      <c r="D30" s="541"/>
      <c r="E30" s="541"/>
      <c r="F30" s="15"/>
    </row>
    <row r="31" spans="1:14" x14ac:dyDescent="0.4">
      <c r="A31" s="9"/>
      <c r="B31" s="19" t="s">
        <v>27</v>
      </c>
      <c r="C31" s="542"/>
      <c r="D31" s="542"/>
      <c r="E31" s="542"/>
      <c r="F31" s="15"/>
    </row>
    <row r="32" spans="1:14" x14ac:dyDescent="0.4">
      <c r="A32" s="9"/>
      <c r="B32" s="13"/>
      <c r="C32" s="15"/>
      <c r="D32" s="15"/>
      <c r="E32" s="15"/>
      <c r="F32" s="15"/>
    </row>
    <row r="33" spans="1:10" ht="30.7" customHeight="1" x14ac:dyDescent="0.4">
      <c r="A33" s="9">
        <v>7</v>
      </c>
      <c r="B33" s="365" t="s">
        <v>28</v>
      </c>
      <c r="C33" s="365"/>
      <c r="D33" s="365"/>
      <c r="E33" s="365"/>
      <c r="F33" s="11"/>
      <c r="G33" s="11"/>
      <c r="H33" s="11"/>
      <c r="I33" s="11"/>
      <c r="J33" s="11"/>
    </row>
    <row r="34" spans="1:10" x14ac:dyDescent="0.4">
      <c r="A34" s="9"/>
      <c r="B34" s="17" t="s">
        <v>29</v>
      </c>
      <c r="C34" s="446" t="s">
        <v>1294</v>
      </c>
      <c r="D34" s="446"/>
      <c r="E34" s="446"/>
      <c r="F34" s="13"/>
    </row>
    <row r="35" spans="1:10" x14ac:dyDescent="0.4">
      <c r="A35" s="9"/>
      <c r="B35" s="17" t="s">
        <v>31</v>
      </c>
      <c r="C35" s="446" t="s">
        <v>1303</v>
      </c>
      <c r="D35" s="446"/>
      <c r="E35" s="446"/>
      <c r="F35" s="13"/>
    </row>
    <row r="36" spans="1:10" x14ac:dyDescent="0.4">
      <c r="A36" s="9"/>
      <c r="B36" s="17" t="s">
        <v>32</v>
      </c>
      <c r="C36" s="446" t="s">
        <v>1304</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ht="26.3" customHeight="1" x14ac:dyDescent="0.4">
      <c r="A40" s="9"/>
      <c r="B40" s="17" t="s">
        <v>34</v>
      </c>
      <c r="C40" s="448" t="s">
        <v>1294</v>
      </c>
      <c r="D40" s="449"/>
      <c r="E40" s="450"/>
      <c r="F40" s="13"/>
    </row>
    <row r="41" spans="1:10" ht="17.25" customHeight="1" x14ac:dyDescent="0.4">
      <c r="A41" s="9"/>
      <c r="B41" s="17" t="s">
        <v>31</v>
      </c>
      <c r="C41" s="448" t="s">
        <v>1303</v>
      </c>
      <c r="D41" s="449"/>
      <c r="E41" s="450"/>
      <c r="F41" s="13"/>
    </row>
    <row r="42" spans="1:10" x14ac:dyDescent="0.4">
      <c r="A42" s="9"/>
      <c r="B42" s="17" t="s">
        <v>32</v>
      </c>
      <c r="C42" s="448" t="s">
        <v>1304</v>
      </c>
      <c r="D42" s="449"/>
      <c r="E42" s="450"/>
      <c r="F42" s="13"/>
    </row>
    <row r="43" spans="1:10" x14ac:dyDescent="0.4">
      <c r="A43" s="9"/>
      <c r="B43" s="363" t="s">
        <v>35</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51.25" x14ac:dyDescent="0.4">
      <c r="A46" s="24"/>
      <c r="B46" s="26" t="s">
        <v>37</v>
      </c>
      <c r="C46" s="27" t="s">
        <v>38</v>
      </c>
      <c r="D46" s="28" t="s">
        <v>39</v>
      </c>
      <c r="E46" s="27" t="s">
        <v>206</v>
      </c>
    </row>
    <row r="47" spans="1:10" ht="72.55" customHeight="1" x14ac:dyDescent="0.4">
      <c r="A47" s="29"/>
      <c r="B47" s="78" t="s">
        <v>1295</v>
      </c>
      <c r="C47" s="78" t="s">
        <v>1302</v>
      </c>
      <c r="D47" s="160" t="s">
        <v>83</v>
      </c>
      <c r="E47" s="160" t="s">
        <v>83</v>
      </c>
    </row>
    <row r="48" spans="1:10" x14ac:dyDescent="0.4">
      <c r="A48" s="31"/>
      <c r="B48" s="380" t="s">
        <v>1327</v>
      </c>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383" t="s">
        <v>43</v>
      </c>
      <c r="C51" s="385" t="s">
        <v>1296</v>
      </c>
      <c r="D51" s="386"/>
      <c r="E51" s="387"/>
      <c r="K51" s="1"/>
    </row>
    <row r="52" spans="1:14" ht="46.5" customHeight="1" x14ac:dyDescent="0.4">
      <c r="A52" s="29"/>
      <c r="B52" s="384"/>
      <c r="C52" s="388"/>
      <c r="D52" s="389"/>
      <c r="E52" s="390"/>
      <c r="K52" s="1"/>
    </row>
    <row r="53" spans="1:14" x14ac:dyDescent="0.4">
      <c r="A53" s="24"/>
      <c r="B53" s="33" t="s">
        <v>44</v>
      </c>
      <c r="C53" s="646" t="s">
        <v>83</v>
      </c>
      <c r="D53" s="646"/>
      <c r="E53" s="646"/>
    </row>
    <row r="54" spans="1:14" x14ac:dyDescent="0.4">
      <c r="A54" s="29"/>
      <c r="B54" s="33" t="s">
        <v>45</v>
      </c>
      <c r="C54" s="471" t="s">
        <v>46</v>
      </c>
      <c r="D54" s="472"/>
      <c r="E54" s="473"/>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1037</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43"/>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446" t="s">
        <v>1301</v>
      </c>
      <c r="D61" s="446"/>
      <c r="E61" s="446"/>
      <c r="F61" s="44"/>
      <c r="G61" s="44"/>
      <c r="H61" s="15"/>
      <c r="I61" s="15"/>
      <c r="J61" s="15"/>
      <c r="K61" s="15"/>
      <c r="L61" s="15"/>
      <c r="M61" s="15"/>
      <c r="N61" s="15"/>
    </row>
    <row r="62" spans="1:14" x14ac:dyDescent="0.4">
      <c r="A62" s="9"/>
      <c r="B62" s="15"/>
      <c r="C62" s="15"/>
      <c r="D62" s="15"/>
      <c r="E62" s="15"/>
      <c r="F62" s="15"/>
      <c r="G62" s="44"/>
      <c r="H62" s="15"/>
      <c r="I62" s="15"/>
      <c r="J62" s="15"/>
      <c r="K62" s="15"/>
      <c r="L62" s="15"/>
      <c r="M62" s="15"/>
      <c r="N62" s="15"/>
    </row>
    <row r="63" spans="1:14" ht="30.05" customHeight="1" x14ac:dyDescent="0.4">
      <c r="A63" s="9"/>
      <c r="B63" s="365" t="s">
        <v>53</v>
      </c>
      <c r="C63" s="366" t="s">
        <v>1299</v>
      </c>
      <c r="D63" s="366" t="s">
        <v>1300</v>
      </c>
      <c r="E63" s="403" t="s">
        <v>1628</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153.30000000000001</v>
      </c>
      <c r="D65" s="101">
        <v>256.95</v>
      </c>
      <c r="E65" s="120">
        <v>208.5</v>
      </c>
      <c r="F65" s="120" t="s">
        <v>41</v>
      </c>
      <c r="G65" s="120" t="s">
        <v>41</v>
      </c>
      <c r="H65" s="120" t="s">
        <v>41</v>
      </c>
      <c r="I65" s="120" t="s">
        <v>41</v>
      </c>
      <c r="J65" s="120" t="s">
        <v>41</v>
      </c>
      <c r="K65" s="120" t="s">
        <v>41</v>
      </c>
      <c r="L65" s="120" t="s">
        <v>41</v>
      </c>
      <c r="M65" s="120" t="s">
        <v>41</v>
      </c>
      <c r="N65" s="120" t="s">
        <v>41</v>
      </c>
    </row>
    <row r="66" spans="1:14" ht="25.65" x14ac:dyDescent="0.4">
      <c r="A66" s="2"/>
      <c r="B66" s="17" t="s">
        <v>918</v>
      </c>
      <c r="C66" s="101">
        <v>19528.75</v>
      </c>
      <c r="D66" s="101">
        <v>18989.150000000001</v>
      </c>
      <c r="E66" s="120">
        <v>21741.9</v>
      </c>
      <c r="F66" s="120" t="s">
        <v>41</v>
      </c>
      <c r="G66" s="120" t="s">
        <v>41</v>
      </c>
      <c r="H66" s="120" t="s">
        <v>41</v>
      </c>
      <c r="I66" s="120" t="s">
        <v>41</v>
      </c>
      <c r="J66" s="120" t="s">
        <v>41</v>
      </c>
      <c r="K66" s="120" t="s">
        <v>41</v>
      </c>
      <c r="L66" s="120" t="s">
        <v>41</v>
      </c>
      <c r="M66" s="120" t="s">
        <v>41</v>
      </c>
      <c r="N66" s="120" t="s">
        <v>41</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551" t="s">
        <v>1092</v>
      </c>
      <c r="C68" s="545"/>
      <c r="D68" s="545"/>
      <c r="E68" s="545"/>
      <c r="F68" s="545"/>
      <c r="G68" s="545"/>
      <c r="H68" s="545"/>
      <c r="I68" s="545"/>
      <c r="J68" s="545"/>
      <c r="K68" s="545"/>
      <c r="L68" s="545"/>
      <c r="M68" s="545"/>
      <c r="N68" s="545"/>
    </row>
    <row r="69" spans="1:14" x14ac:dyDescent="0.4">
      <c r="A69" s="2"/>
      <c r="B69" s="480" t="s">
        <v>63</v>
      </c>
      <c r="C69" s="480"/>
      <c r="D69" s="480"/>
      <c r="E69" s="480"/>
      <c r="F69" s="480"/>
      <c r="G69" s="480"/>
      <c r="H69" s="480"/>
      <c r="I69" s="480"/>
      <c r="J69" s="480"/>
      <c r="K69" s="480"/>
      <c r="L69" s="480"/>
      <c r="M69" s="480"/>
      <c r="N69" s="480"/>
    </row>
    <row r="70" spans="1:14" s="1" customFormat="1" x14ac:dyDescent="0.4">
      <c r="B70" s="474" t="s">
        <v>64</v>
      </c>
      <c r="C70" s="474"/>
      <c r="D70" s="474"/>
      <c r="E70" s="474"/>
      <c r="F70" s="474"/>
      <c r="G70" s="474"/>
      <c r="H70" s="474"/>
      <c r="I70" s="474"/>
      <c r="J70" s="474"/>
      <c r="K70" s="474"/>
      <c r="L70" s="474"/>
      <c r="M70" s="474"/>
      <c r="N70" s="474"/>
    </row>
    <row r="71" spans="1:14" x14ac:dyDescent="0.4">
      <c r="A71" s="2"/>
      <c r="B71" s="359" t="s">
        <v>358</v>
      </c>
      <c r="C71" s="359"/>
      <c r="D71" s="359"/>
      <c r="E71" s="359"/>
      <c r="F71" s="359"/>
      <c r="G71" s="359"/>
      <c r="H71" s="359"/>
      <c r="I71" s="359"/>
      <c r="J71" s="359"/>
      <c r="K71" s="359"/>
      <c r="L71" s="359"/>
      <c r="M71" s="359"/>
      <c r="N71" s="359"/>
    </row>
    <row r="72" spans="1:14" x14ac:dyDescent="0.4">
      <c r="A72" s="2"/>
      <c r="B72" s="359" t="s">
        <v>65</v>
      </c>
      <c r="C72" s="359"/>
      <c r="D72" s="359"/>
      <c r="E72" s="359"/>
      <c r="F72" s="359"/>
      <c r="G72" s="359"/>
      <c r="H72" s="359"/>
      <c r="I72" s="359"/>
      <c r="J72" s="359"/>
      <c r="K72" s="359"/>
      <c r="L72" s="359"/>
      <c r="M72" s="359"/>
      <c r="N72" s="359"/>
    </row>
    <row r="73" spans="1:14" x14ac:dyDescent="0.4">
      <c r="A73" s="2"/>
      <c r="B73" s="49"/>
      <c r="C73" s="49"/>
      <c r="D73" s="49"/>
      <c r="E73" s="49"/>
      <c r="F73" s="49"/>
      <c r="G73" s="13"/>
      <c r="H73" s="13"/>
      <c r="I73" s="13"/>
      <c r="J73" s="13"/>
      <c r="K73" s="13"/>
      <c r="L73" s="13"/>
      <c r="M73" s="13"/>
      <c r="N73" s="13"/>
    </row>
    <row r="74" spans="1:14" ht="29.3" customHeight="1" x14ac:dyDescent="0.4">
      <c r="A74" s="9">
        <v>13</v>
      </c>
      <c r="B74" s="405" t="s">
        <v>66</v>
      </c>
      <c r="C74" s="406"/>
      <c r="D74" s="406"/>
      <c r="E74" s="406"/>
      <c r="F74" s="406"/>
      <c r="G74" s="376"/>
      <c r="H74" s="11"/>
      <c r="I74" s="11"/>
      <c r="J74" s="11"/>
      <c r="K74" s="11"/>
      <c r="L74" s="11"/>
      <c r="M74" s="11"/>
      <c r="N74" s="11"/>
    </row>
    <row r="75" spans="1:14" x14ac:dyDescent="0.4">
      <c r="A75" s="9"/>
      <c r="C75" s="15"/>
      <c r="D75" s="15"/>
      <c r="E75" s="15"/>
      <c r="F75" s="15"/>
      <c r="G75" s="15"/>
      <c r="H75" s="15"/>
      <c r="I75" s="15"/>
      <c r="J75" s="15"/>
      <c r="K75" s="15"/>
      <c r="L75" s="15"/>
      <c r="M75" s="15"/>
      <c r="N75" s="15"/>
    </row>
    <row r="76" spans="1:14" ht="25.65" x14ac:dyDescent="0.4">
      <c r="A76" s="2"/>
      <c r="B76" s="50" t="s">
        <v>67</v>
      </c>
      <c r="C76" s="18" t="s">
        <v>68</v>
      </c>
      <c r="D76" s="18" t="s">
        <v>1127</v>
      </c>
      <c r="E76" s="18" t="s">
        <v>218</v>
      </c>
      <c r="F76" s="18" t="s">
        <v>71</v>
      </c>
      <c r="G76" s="18" t="s">
        <v>107</v>
      </c>
      <c r="H76" s="13"/>
      <c r="I76" s="13"/>
      <c r="J76" s="13"/>
      <c r="K76" s="13"/>
      <c r="L76" s="13"/>
      <c r="M76" s="13"/>
      <c r="N76" s="13"/>
    </row>
    <row r="77" spans="1:14" ht="25.55" customHeight="1" x14ac:dyDescent="0.4">
      <c r="A77" s="2"/>
      <c r="B77" s="394" t="s">
        <v>1271</v>
      </c>
      <c r="C77" s="21" t="s">
        <v>1330</v>
      </c>
      <c r="D77" s="151">
        <v>7.45</v>
      </c>
      <c r="E77" s="435" t="s">
        <v>1647</v>
      </c>
      <c r="F77" s="435" t="s">
        <v>1648</v>
      </c>
      <c r="G77" s="435" t="s">
        <v>1649</v>
      </c>
      <c r="H77" s="53"/>
      <c r="I77" s="53"/>
      <c r="J77" s="53"/>
      <c r="K77" s="53"/>
      <c r="L77" s="53"/>
      <c r="M77" s="53"/>
      <c r="N77" s="53"/>
    </row>
    <row r="78" spans="1:14" x14ac:dyDescent="0.4">
      <c r="A78" s="2"/>
      <c r="B78" s="394"/>
      <c r="C78" s="3" t="s">
        <v>765</v>
      </c>
      <c r="D78" s="151"/>
      <c r="E78" s="436"/>
      <c r="F78" s="436"/>
      <c r="G78" s="436"/>
      <c r="H78" s="53"/>
      <c r="I78" s="53"/>
      <c r="J78" s="53"/>
      <c r="K78" s="53"/>
      <c r="L78" s="53"/>
      <c r="M78" s="53"/>
      <c r="N78" s="53"/>
    </row>
    <row r="79" spans="1:14" x14ac:dyDescent="0.4">
      <c r="A79" s="2"/>
      <c r="B79" s="394"/>
      <c r="C79" s="3" t="s">
        <v>74</v>
      </c>
      <c r="D79" s="276"/>
      <c r="E79" s="436"/>
      <c r="F79" s="436"/>
      <c r="G79" s="436"/>
      <c r="H79" s="53"/>
      <c r="I79" s="53"/>
      <c r="J79" s="53"/>
      <c r="K79" s="53"/>
      <c r="L79" s="53"/>
      <c r="M79" s="53"/>
      <c r="N79" s="53"/>
    </row>
    <row r="80" spans="1:14" ht="26.5" x14ac:dyDescent="0.4">
      <c r="A80" s="2"/>
      <c r="B80" s="394" t="s">
        <v>75</v>
      </c>
      <c r="C80" s="21" t="s">
        <v>1330</v>
      </c>
      <c r="D80" s="154">
        <v>12.35</v>
      </c>
      <c r="E80" s="436"/>
      <c r="F80" s="436"/>
      <c r="G80" s="436"/>
      <c r="H80" s="53"/>
      <c r="I80" s="53"/>
      <c r="J80" s="53"/>
      <c r="K80" s="53"/>
      <c r="L80" s="53"/>
      <c r="M80" s="53"/>
      <c r="N80" s="53"/>
    </row>
    <row r="81" spans="1:14" x14ac:dyDescent="0.4">
      <c r="A81" s="2"/>
      <c r="B81" s="394"/>
      <c r="C81" s="3" t="s">
        <v>73</v>
      </c>
      <c r="D81" s="151"/>
      <c r="E81" s="436"/>
      <c r="F81" s="436"/>
      <c r="G81" s="436"/>
      <c r="H81" s="53"/>
      <c r="I81" s="53"/>
      <c r="J81" s="53"/>
      <c r="K81" s="53"/>
      <c r="L81" s="53"/>
      <c r="M81" s="53"/>
      <c r="N81" s="53"/>
    </row>
    <row r="82" spans="1:14" x14ac:dyDescent="0.4">
      <c r="A82" s="2"/>
      <c r="B82" s="394"/>
      <c r="C82" s="3" t="s">
        <v>74</v>
      </c>
      <c r="D82" s="276"/>
      <c r="E82" s="436"/>
      <c r="F82" s="436"/>
      <c r="G82" s="436"/>
      <c r="H82" s="53"/>
      <c r="I82" s="53"/>
      <c r="J82" s="53"/>
      <c r="K82" s="53"/>
      <c r="L82" s="53"/>
      <c r="M82" s="53"/>
      <c r="N82" s="53"/>
    </row>
    <row r="83" spans="1:14" ht="26.5" x14ac:dyDescent="0.4">
      <c r="A83" s="2"/>
      <c r="B83" s="394" t="s">
        <v>76</v>
      </c>
      <c r="C83" s="21" t="s">
        <v>1330</v>
      </c>
      <c r="D83" s="277">
        <v>0.26869999999999999</v>
      </c>
      <c r="E83" s="436"/>
      <c r="F83" s="436"/>
      <c r="G83" s="436"/>
      <c r="H83" s="53"/>
      <c r="I83" s="53"/>
      <c r="J83" s="53"/>
      <c r="K83" s="53"/>
      <c r="L83" s="53"/>
      <c r="M83" s="53"/>
      <c r="N83" s="53"/>
    </row>
    <row r="84" spans="1:14" x14ac:dyDescent="0.4">
      <c r="A84" s="2"/>
      <c r="B84" s="394"/>
      <c r="C84" s="3" t="s">
        <v>73</v>
      </c>
      <c r="D84" s="151"/>
      <c r="E84" s="436"/>
      <c r="F84" s="436"/>
      <c r="G84" s="436"/>
      <c r="H84" s="53"/>
      <c r="I84" s="53"/>
      <c r="J84" s="53"/>
      <c r="K84" s="53"/>
      <c r="L84" s="53"/>
      <c r="M84" s="53"/>
      <c r="N84" s="53"/>
    </row>
    <row r="85" spans="1:14" x14ac:dyDescent="0.4">
      <c r="A85" s="2"/>
      <c r="B85" s="394"/>
      <c r="C85" s="3" t="s">
        <v>74</v>
      </c>
      <c r="D85" s="276"/>
      <c r="E85" s="436"/>
      <c r="F85" s="436"/>
      <c r="G85" s="436"/>
      <c r="H85" s="53"/>
      <c r="I85" s="53"/>
      <c r="J85" s="53"/>
      <c r="K85" s="53"/>
      <c r="L85" s="53"/>
      <c r="M85" s="53"/>
      <c r="N85" s="53"/>
    </row>
    <row r="86" spans="1:14" ht="26.5" x14ac:dyDescent="0.4">
      <c r="A86" s="2"/>
      <c r="B86" s="394" t="s">
        <v>77</v>
      </c>
      <c r="C86" s="21" t="s">
        <v>1330</v>
      </c>
      <c r="D86" s="152">
        <v>97</v>
      </c>
      <c r="E86" s="436"/>
      <c r="F86" s="436"/>
      <c r="G86" s="436"/>
      <c r="H86" s="53"/>
      <c r="I86" s="53"/>
      <c r="J86" s="53"/>
      <c r="K86" s="53"/>
      <c r="L86" s="53"/>
      <c r="M86" s="53"/>
      <c r="N86" s="53"/>
    </row>
    <row r="87" spans="1:14" x14ac:dyDescent="0.4">
      <c r="A87" s="2"/>
      <c r="B87" s="394"/>
      <c r="C87" s="3" t="s">
        <v>73</v>
      </c>
      <c r="D87" s="151"/>
      <c r="E87" s="436"/>
      <c r="F87" s="436"/>
      <c r="G87" s="436"/>
      <c r="H87" s="53"/>
      <c r="I87" s="53"/>
      <c r="J87" s="53"/>
      <c r="K87" s="53"/>
      <c r="L87" s="53"/>
      <c r="M87" s="53"/>
      <c r="N87" s="53"/>
    </row>
    <row r="88" spans="1:14" x14ac:dyDescent="0.4">
      <c r="A88" s="2"/>
      <c r="B88" s="411"/>
      <c r="C88" s="3" t="s">
        <v>74</v>
      </c>
      <c r="D88" s="153"/>
      <c r="E88" s="547"/>
      <c r="F88" s="547"/>
      <c r="G88" s="436"/>
      <c r="H88" s="53"/>
      <c r="I88" s="53"/>
      <c r="J88" s="53"/>
      <c r="K88" s="53"/>
      <c r="L88" s="53"/>
      <c r="M88" s="53"/>
      <c r="N88" s="53"/>
    </row>
    <row r="89" spans="1:14" s="1" customFormat="1" x14ac:dyDescent="0.4">
      <c r="B89" s="412"/>
      <c r="C89" s="413"/>
      <c r="D89" s="413"/>
      <c r="E89" s="413"/>
      <c r="F89" s="413"/>
      <c r="G89" s="414"/>
    </row>
    <row r="90" spans="1:14" x14ac:dyDescent="0.4">
      <c r="A90" s="2"/>
      <c r="B90" s="415" t="s">
        <v>1328</v>
      </c>
      <c r="C90" s="416"/>
      <c r="D90" s="416"/>
      <c r="E90" s="416"/>
      <c r="F90" s="416"/>
      <c r="G90" s="417"/>
      <c r="H90" s="53"/>
      <c r="I90" s="53"/>
      <c r="J90" s="53"/>
      <c r="K90" s="53"/>
      <c r="L90" s="53"/>
      <c r="M90" s="53"/>
      <c r="N90" s="53"/>
    </row>
    <row r="91" spans="1:14" ht="12.7" customHeight="1" x14ac:dyDescent="0.4">
      <c r="A91" s="2"/>
      <c r="B91" s="418" t="s">
        <v>989</v>
      </c>
      <c r="C91" s="419"/>
      <c r="D91" s="419"/>
      <c r="E91" s="419"/>
      <c r="F91" s="419"/>
      <c r="G91" s="420"/>
      <c r="H91" s="53"/>
      <c r="I91" s="53"/>
      <c r="J91" s="53"/>
      <c r="K91" s="53"/>
      <c r="L91" s="53"/>
      <c r="M91" s="53"/>
      <c r="N91" s="53"/>
    </row>
    <row r="92" spans="1:14" x14ac:dyDescent="0.4">
      <c r="C92" s="407"/>
      <c r="D92" s="407"/>
      <c r="E92" s="407"/>
      <c r="F92" s="407"/>
      <c r="G92" s="407"/>
      <c r="H92" s="53"/>
      <c r="I92" s="53"/>
    </row>
    <row r="93" spans="1:14" x14ac:dyDescent="0.4">
      <c r="A93" s="9">
        <v>14</v>
      </c>
      <c r="B93" s="61" t="s">
        <v>78</v>
      </c>
      <c r="C93" s="458" t="s">
        <v>41</v>
      </c>
      <c r="D93" s="458"/>
      <c r="E93" s="458"/>
      <c r="F93" s="458"/>
      <c r="G93" s="458"/>
    </row>
    <row r="94" spans="1:14" x14ac:dyDescent="0.4">
      <c r="A94" s="23"/>
      <c r="B94" s="448"/>
      <c r="C94" s="449"/>
      <c r="D94" s="449"/>
      <c r="E94" s="449"/>
      <c r="F94" s="449"/>
      <c r="G94" s="450"/>
    </row>
    <row r="96" spans="1:14" ht="12.7" customHeight="1" x14ac:dyDescent="0.4">
      <c r="B96" s="548" t="s">
        <v>1297</v>
      </c>
      <c r="C96" s="549"/>
      <c r="D96" s="549"/>
      <c r="E96" s="549"/>
      <c r="F96" s="549"/>
      <c r="G96" s="549"/>
      <c r="H96" s="295"/>
    </row>
    <row r="98" spans="2:7" ht="25.55" customHeight="1" x14ac:dyDescent="0.4">
      <c r="B98" s="539" t="s">
        <v>1329</v>
      </c>
      <c r="C98" s="539"/>
      <c r="D98" s="539"/>
      <c r="E98" s="539"/>
      <c r="F98" s="539"/>
      <c r="G98" s="539"/>
    </row>
    <row r="100" spans="2:7" x14ac:dyDescent="0.4">
      <c r="C100" s="230"/>
      <c r="D100" s="230"/>
    </row>
    <row r="101" spans="2:7" x14ac:dyDescent="0.4">
      <c r="D101" s="107"/>
      <c r="E101" s="107"/>
    </row>
    <row r="102" spans="2:7" x14ac:dyDescent="0.4">
      <c r="C102" s="230"/>
      <c r="D102" s="230"/>
      <c r="E102" s="107"/>
    </row>
  </sheetData>
  <sheetProtection algorithmName="SHA-512" hashValue="baALjtlGZFt5HiUrfarUXLiR9hlfwb2JCuIS7DSKIW/do5G34c1GCcuuS5O7T3g9TAvbZv1oqK92YiFAq51Fqw==" saltValue="mZAtH4wD0JmhQyyvTi5Xdw==" spinCount="100000" sheet="1" objects="1" scenarios="1"/>
  <mergeCells count="69">
    <mergeCell ref="C18:E18"/>
    <mergeCell ref="A1:B1"/>
    <mergeCell ref="C3:E3"/>
    <mergeCell ref="C5:E5"/>
    <mergeCell ref="B6:E6"/>
    <mergeCell ref="C8:E8"/>
    <mergeCell ref="B9:E9"/>
    <mergeCell ref="C11:E11"/>
    <mergeCell ref="B12:E12"/>
    <mergeCell ref="C14:E14"/>
    <mergeCell ref="B15:E15"/>
    <mergeCell ref="B17:E17"/>
    <mergeCell ref="B39:E39"/>
    <mergeCell ref="C19:E19"/>
    <mergeCell ref="C20:E20"/>
    <mergeCell ref="C21:E21"/>
    <mergeCell ref="C22:E22"/>
    <mergeCell ref="B25:E25"/>
    <mergeCell ref="B26:E26"/>
    <mergeCell ref="E28:E31"/>
    <mergeCell ref="B33:E33"/>
    <mergeCell ref="C34:E34"/>
    <mergeCell ref="C35:E35"/>
    <mergeCell ref="C36:E36"/>
    <mergeCell ref="B55:E55"/>
    <mergeCell ref="C40:E40"/>
    <mergeCell ref="C41:E41"/>
    <mergeCell ref="C42:E42"/>
    <mergeCell ref="B43:E43"/>
    <mergeCell ref="B45:E45"/>
    <mergeCell ref="B48:E48"/>
    <mergeCell ref="B50:E50"/>
    <mergeCell ref="B51:B52"/>
    <mergeCell ref="C51:E52"/>
    <mergeCell ref="C53:E53"/>
    <mergeCell ref="C54:E54"/>
    <mergeCell ref="C57:E57"/>
    <mergeCell ref="C61:E61"/>
    <mergeCell ref="B63:B64"/>
    <mergeCell ref="C63:C64"/>
    <mergeCell ref="D63:D64"/>
    <mergeCell ref="E63:E64"/>
    <mergeCell ref="I63:K63"/>
    <mergeCell ref="L63:N63"/>
    <mergeCell ref="C67:N67"/>
    <mergeCell ref="B68:N68"/>
    <mergeCell ref="B69:N69"/>
    <mergeCell ref="B80:B82"/>
    <mergeCell ref="B83:B85"/>
    <mergeCell ref="B86:B88"/>
    <mergeCell ref="F63:H63"/>
    <mergeCell ref="E77:E88"/>
    <mergeCell ref="F77:F88"/>
    <mergeCell ref="B94:G94"/>
    <mergeCell ref="B96:G96"/>
    <mergeCell ref="B98:G98"/>
    <mergeCell ref="C28:C31"/>
    <mergeCell ref="D28:D31"/>
    <mergeCell ref="B89:G89"/>
    <mergeCell ref="B90:G90"/>
    <mergeCell ref="B91:G91"/>
    <mergeCell ref="C92:G92"/>
    <mergeCell ref="C93:G93"/>
    <mergeCell ref="B70:N70"/>
    <mergeCell ref="B71:N71"/>
    <mergeCell ref="B72:N72"/>
    <mergeCell ref="B74:G74"/>
    <mergeCell ref="B77:B79"/>
    <mergeCell ref="G77:G88"/>
  </mergeCells>
  <pageMargins left="0.7" right="0.7" top="0.75" bottom="0.75" header="0.3" footer="0.3"/>
  <pageSetup paperSize="8" scale="74" orientation="landscape" verticalDpi="1200" r:id="rId1"/>
  <rowBreaks count="1" manualBreakCount="1">
    <brk id="45"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2:N109"/>
  <sheetViews>
    <sheetView view="pageBreakPreview" topLeftCell="A75" zoomScale="60" zoomScaleNormal="100" workbookViewId="0">
      <selection activeCell="B98" sqref="B98:G98"/>
    </sheetView>
  </sheetViews>
  <sheetFormatPr defaultRowHeight="14.6" x14ac:dyDescent="0.4"/>
  <cols>
    <col min="2" max="2" width="46" bestFit="1" customWidth="1"/>
    <col min="3" max="3" width="42.07421875" customWidth="1"/>
    <col min="4" max="4" width="21.3046875" customWidth="1"/>
    <col min="5" max="5" width="13.4609375" customWidth="1"/>
  </cols>
  <sheetData>
    <row r="2" spans="1:14" x14ac:dyDescent="0.4">
      <c r="A2" s="355" t="s">
        <v>0</v>
      </c>
      <c r="B2" s="355"/>
      <c r="C2" s="8"/>
      <c r="D2" s="1"/>
      <c r="E2" s="8"/>
      <c r="F2" s="8"/>
      <c r="G2" s="8"/>
      <c r="H2" s="8"/>
      <c r="I2" s="8"/>
      <c r="J2" s="8"/>
      <c r="K2" s="8"/>
      <c r="L2" s="8"/>
      <c r="M2" s="8"/>
      <c r="N2" s="8"/>
    </row>
    <row r="3" spans="1:14" x14ac:dyDescent="0.4">
      <c r="A3" s="8"/>
      <c r="B3" s="8"/>
      <c r="C3" s="8"/>
      <c r="D3" s="8"/>
      <c r="E3" s="8"/>
      <c r="F3" s="8"/>
      <c r="G3" s="8"/>
      <c r="H3" s="8"/>
      <c r="I3" s="8"/>
      <c r="J3" s="8"/>
      <c r="K3" s="8"/>
      <c r="L3" s="8"/>
      <c r="M3" s="8"/>
      <c r="N3" s="8"/>
    </row>
    <row r="4" spans="1:14" x14ac:dyDescent="0.4">
      <c r="A4" s="2" t="s">
        <v>1</v>
      </c>
      <c r="B4" s="3" t="s">
        <v>2</v>
      </c>
      <c r="C4" s="444" t="s">
        <v>1389</v>
      </c>
      <c r="D4" s="445"/>
      <c r="E4" s="358"/>
      <c r="F4" s="8"/>
      <c r="G4" s="8"/>
      <c r="H4" s="8"/>
      <c r="I4" s="8"/>
      <c r="J4" s="8"/>
      <c r="K4" s="8"/>
      <c r="L4" s="8"/>
      <c r="M4" s="8"/>
      <c r="N4" s="8"/>
    </row>
    <row r="5" spans="1:14" x14ac:dyDescent="0.4">
      <c r="A5" s="8"/>
      <c r="B5" s="8"/>
      <c r="C5" s="8"/>
      <c r="D5" s="5"/>
      <c r="E5" s="8"/>
      <c r="F5" s="8"/>
      <c r="G5" s="8"/>
      <c r="H5" s="8"/>
      <c r="I5" s="8"/>
      <c r="J5" s="8"/>
      <c r="K5" s="8"/>
      <c r="L5" s="8"/>
      <c r="M5" s="8"/>
      <c r="N5" s="8"/>
    </row>
    <row r="6" spans="1:14" x14ac:dyDescent="0.4">
      <c r="A6" s="36">
        <v>1</v>
      </c>
      <c r="B6" s="3" t="s">
        <v>3</v>
      </c>
      <c r="C6" s="458" t="s">
        <v>1091</v>
      </c>
      <c r="D6" s="458"/>
      <c r="E6" s="458"/>
      <c r="F6" s="8"/>
      <c r="G6" s="8"/>
      <c r="H6" s="8"/>
      <c r="I6" s="8"/>
      <c r="J6" s="8"/>
      <c r="K6" s="8"/>
      <c r="L6" s="8"/>
      <c r="M6" s="8"/>
      <c r="N6" s="8"/>
    </row>
    <row r="7" spans="1:14" x14ac:dyDescent="0.4">
      <c r="A7" s="9"/>
      <c r="B7" s="480" t="s">
        <v>5</v>
      </c>
      <c r="C7" s="480"/>
      <c r="D7" s="480"/>
      <c r="E7" s="480"/>
      <c r="F7" s="8"/>
      <c r="G7" s="8"/>
      <c r="H7" s="8"/>
      <c r="I7" s="8"/>
      <c r="J7" s="8"/>
      <c r="K7" s="8"/>
      <c r="L7" s="8"/>
      <c r="M7" s="8"/>
      <c r="N7" s="8"/>
    </row>
    <row r="8" spans="1:14" x14ac:dyDescent="0.4">
      <c r="A8" s="9"/>
      <c r="B8" s="11"/>
      <c r="C8" s="8"/>
      <c r="D8" s="5"/>
      <c r="E8" s="8"/>
      <c r="F8" s="8"/>
      <c r="G8" s="8"/>
      <c r="H8" s="8"/>
      <c r="I8" s="8"/>
      <c r="J8" s="8"/>
      <c r="K8" s="8"/>
      <c r="L8" s="8"/>
      <c r="M8" s="8"/>
      <c r="N8" s="8"/>
    </row>
    <row r="9" spans="1:14" x14ac:dyDescent="0.4">
      <c r="A9" s="9">
        <v>2</v>
      </c>
      <c r="B9" s="3" t="s">
        <v>6</v>
      </c>
      <c r="C9" s="497" t="s">
        <v>1390</v>
      </c>
      <c r="D9" s="497"/>
      <c r="E9" s="497"/>
      <c r="F9" s="8"/>
      <c r="G9" s="8"/>
      <c r="H9" s="8"/>
      <c r="I9" s="8"/>
      <c r="J9" s="8"/>
      <c r="K9" s="8"/>
      <c r="L9" s="8"/>
      <c r="M9" s="8"/>
      <c r="N9" s="8"/>
    </row>
    <row r="10" spans="1:14" x14ac:dyDescent="0.4">
      <c r="A10" s="9"/>
      <c r="B10" s="480" t="s">
        <v>5</v>
      </c>
      <c r="C10" s="480"/>
      <c r="D10" s="480"/>
      <c r="E10" s="480"/>
      <c r="F10" s="8"/>
      <c r="G10" s="8"/>
      <c r="H10" s="8"/>
      <c r="I10" s="8"/>
      <c r="J10" s="8"/>
      <c r="K10" s="8"/>
      <c r="L10" s="8"/>
      <c r="M10" s="8"/>
      <c r="N10" s="8"/>
    </row>
    <row r="11" spans="1:14" x14ac:dyDescent="0.4">
      <c r="A11" s="9"/>
      <c r="B11" s="11"/>
      <c r="C11" s="8"/>
      <c r="D11" s="5"/>
      <c r="E11" s="8"/>
      <c r="F11" s="8"/>
      <c r="G11" s="8"/>
      <c r="H11" s="8"/>
      <c r="I11" s="8"/>
      <c r="J11" s="8"/>
      <c r="K11" s="8"/>
      <c r="L11" s="8"/>
      <c r="M11" s="8"/>
      <c r="N11" s="8"/>
    </row>
    <row r="12" spans="1:14" x14ac:dyDescent="0.4">
      <c r="A12" s="9">
        <v>3</v>
      </c>
      <c r="B12" s="3" t="s">
        <v>7</v>
      </c>
      <c r="C12" s="458" t="s">
        <v>1109</v>
      </c>
      <c r="D12" s="458"/>
      <c r="E12" s="458"/>
      <c r="F12" s="8"/>
      <c r="G12" s="8"/>
      <c r="H12" s="8"/>
      <c r="I12" s="8"/>
      <c r="J12" s="8"/>
      <c r="K12" s="8"/>
      <c r="L12" s="8"/>
      <c r="M12" s="8"/>
      <c r="N12" s="8"/>
    </row>
    <row r="13" spans="1:14" x14ac:dyDescent="0.4">
      <c r="A13" s="9"/>
      <c r="B13" s="480" t="s">
        <v>5</v>
      </c>
      <c r="C13" s="480"/>
      <c r="D13" s="480"/>
      <c r="E13" s="480"/>
      <c r="F13" s="8"/>
      <c r="G13" s="8"/>
      <c r="H13" s="8"/>
      <c r="I13" s="8"/>
      <c r="J13" s="8"/>
      <c r="K13" s="8"/>
      <c r="L13" s="8"/>
      <c r="M13" s="8"/>
      <c r="N13" s="8"/>
    </row>
    <row r="14" spans="1:14" x14ac:dyDescent="0.4">
      <c r="A14" s="9"/>
      <c r="B14" s="11"/>
      <c r="C14" s="8"/>
      <c r="D14" s="5"/>
      <c r="E14" s="8"/>
      <c r="F14" s="8"/>
      <c r="G14" s="8"/>
      <c r="H14" s="8"/>
      <c r="I14" s="8"/>
      <c r="J14" s="8"/>
      <c r="K14" s="8"/>
      <c r="L14" s="8"/>
      <c r="M14" s="8"/>
      <c r="N14" s="8"/>
    </row>
    <row r="15" spans="1:14" x14ac:dyDescent="0.4">
      <c r="A15" s="9">
        <v>4</v>
      </c>
      <c r="B15" s="3" t="s">
        <v>9</v>
      </c>
      <c r="C15" s="497">
        <v>189.08</v>
      </c>
      <c r="D15" s="497"/>
      <c r="E15" s="497"/>
      <c r="F15" s="8"/>
      <c r="G15" s="8"/>
      <c r="H15" s="8"/>
      <c r="I15" s="8"/>
      <c r="J15" s="8"/>
      <c r="K15" s="8"/>
      <c r="L15" s="8"/>
      <c r="M15" s="8"/>
      <c r="N15" s="8"/>
    </row>
    <row r="16" spans="1:14" x14ac:dyDescent="0.4">
      <c r="A16" s="9"/>
      <c r="B16" s="480" t="s">
        <v>10</v>
      </c>
      <c r="C16" s="480"/>
      <c r="D16" s="480"/>
      <c r="E16" s="480"/>
      <c r="F16" s="8"/>
      <c r="G16" s="8"/>
      <c r="H16" s="8"/>
      <c r="I16" s="8"/>
      <c r="J16" s="8"/>
      <c r="K16" s="8"/>
      <c r="L16" s="8"/>
      <c r="M16" s="8"/>
      <c r="N16" s="8"/>
    </row>
    <row r="17" spans="1:14" x14ac:dyDescent="0.4">
      <c r="A17" s="9"/>
      <c r="B17" s="8"/>
      <c r="C17" s="8"/>
      <c r="D17" s="5"/>
      <c r="E17" s="8"/>
      <c r="F17" s="8"/>
      <c r="G17" s="8"/>
      <c r="H17" s="8"/>
      <c r="I17" s="8"/>
      <c r="J17" s="8"/>
      <c r="K17" s="8"/>
      <c r="L17" s="8"/>
      <c r="M17" s="8"/>
      <c r="N17" s="8"/>
    </row>
    <row r="18" spans="1:14" x14ac:dyDescent="0.4">
      <c r="A18" s="9">
        <v>5</v>
      </c>
      <c r="B18" s="365" t="s">
        <v>1082</v>
      </c>
      <c r="C18" s="366"/>
      <c r="D18" s="366"/>
      <c r="E18" s="366"/>
      <c r="F18" s="11"/>
      <c r="G18" s="11"/>
      <c r="H18" s="11"/>
      <c r="I18" s="11"/>
      <c r="J18" s="13"/>
      <c r="K18" s="13"/>
      <c r="L18" s="13"/>
      <c r="M18" s="13"/>
      <c r="N18" s="13"/>
    </row>
    <row r="19" spans="1:14" x14ac:dyDescent="0.4">
      <c r="A19" s="9"/>
      <c r="B19" s="14" t="s">
        <v>12</v>
      </c>
      <c r="C19" s="367">
        <v>9.0586E-2</v>
      </c>
      <c r="D19" s="367"/>
      <c r="E19" s="367"/>
      <c r="F19" s="15"/>
      <c r="G19" s="13"/>
      <c r="H19" s="13"/>
      <c r="I19" s="13"/>
      <c r="J19" s="13"/>
      <c r="K19" s="13"/>
      <c r="L19" s="13"/>
      <c r="M19" s="13"/>
      <c r="N19" s="13"/>
    </row>
    <row r="20" spans="1:14" ht="25.65" x14ac:dyDescent="0.4">
      <c r="A20" s="9"/>
      <c r="B20" s="14" t="s">
        <v>1307</v>
      </c>
      <c r="C20" s="367" t="s">
        <v>1391</v>
      </c>
      <c r="D20" s="354"/>
      <c r="E20" s="354"/>
      <c r="F20" s="15"/>
      <c r="G20" s="13"/>
      <c r="H20" s="8"/>
      <c r="I20" s="13"/>
      <c r="J20" s="13"/>
      <c r="K20" s="13"/>
      <c r="L20" s="13"/>
      <c r="M20" s="13"/>
      <c r="N20" s="13"/>
    </row>
    <row r="21" spans="1:14" x14ac:dyDescent="0.4">
      <c r="A21" s="9"/>
      <c r="B21" s="14" t="s">
        <v>605</v>
      </c>
      <c r="C21" s="367" t="s">
        <v>1391</v>
      </c>
      <c r="D21" s="354"/>
      <c r="E21" s="354"/>
      <c r="F21" s="15"/>
      <c r="G21" s="13"/>
      <c r="H21" s="13"/>
      <c r="I21" s="13"/>
      <c r="J21" s="13"/>
      <c r="K21" s="13"/>
      <c r="L21" s="13"/>
      <c r="M21" s="13"/>
      <c r="N21" s="13"/>
    </row>
    <row r="22" spans="1:14" x14ac:dyDescent="0.4">
      <c r="A22" s="9"/>
      <c r="B22" s="14" t="s">
        <v>15</v>
      </c>
      <c r="C22" s="367" t="s">
        <v>1392</v>
      </c>
      <c r="D22" s="354"/>
      <c r="E22" s="354"/>
      <c r="F22" s="15"/>
      <c r="G22" s="13"/>
      <c r="H22" s="13"/>
      <c r="I22" s="13"/>
      <c r="J22" s="13"/>
      <c r="K22" s="13"/>
      <c r="L22" s="13"/>
      <c r="M22" s="13"/>
      <c r="N22" s="13"/>
    </row>
    <row r="23" spans="1:14" x14ac:dyDescent="0.4">
      <c r="A23" s="9"/>
      <c r="B23" s="14" t="s">
        <v>16</v>
      </c>
      <c r="C23" s="367" t="s">
        <v>1393</v>
      </c>
      <c r="D23" s="354"/>
      <c r="E23" s="354"/>
      <c r="F23" s="15"/>
      <c r="G23" s="13"/>
      <c r="H23" s="13"/>
      <c r="I23" s="13"/>
      <c r="J23" s="13"/>
      <c r="K23" s="13"/>
      <c r="L23" s="13"/>
      <c r="M23" s="13"/>
      <c r="N23" s="13"/>
    </row>
    <row r="24" spans="1:14" x14ac:dyDescent="0.4">
      <c r="A24" s="9"/>
      <c r="B24" s="8"/>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1086</v>
      </c>
      <c r="C26" s="365"/>
      <c r="D26" s="365"/>
      <c r="E26" s="365"/>
      <c r="F26" s="11"/>
      <c r="G26" s="11"/>
      <c r="H26" s="13"/>
      <c r="I26" s="11"/>
      <c r="J26" s="11"/>
      <c r="K26" s="8"/>
      <c r="L26" s="8"/>
      <c r="M26" s="8"/>
      <c r="N26" s="8"/>
    </row>
    <row r="27" spans="1:14" x14ac:dyDescent="0.4">
      <c r="A27" s="9"/>
      <c r="B27" s="370" t="s">
        <v>19</v>
      </c>
      <c r="C27" s="371"/>
      <c r="D27" s="371"/>
      <c r="E27" s="372"/>
      <c r="F27" s="15"/>
      <c r="G27" s="8"/>
      <c r="H27" s="8"/>
      <c r="I27" s="8"/>
      <c r="J27" s="8"/>
      <c r="K27" s="8"/>
      <c r="L27" s="8"/>
      <c r="M27" s="8"/>
      <c r="N27" s="8"/>
    </row>
    <row r="28" spans="1:14" x14ac:dyDescent="0.4">
      <c r="A28" s="9"/>
      <c r="B28" s="17" t="s">
        <v>20</v>
      </c>
      <c r="C28" s="18" t="s">
        <v>262</v>
      </c>
      <c r="D28" s="18" t="s">
        <v>263</v>
      </c>
      <c r="E28" s="18" t="s">
        <v>23</v>
      </c>
      <c r="F28" s="15"/>
      <c r="G28" s="8"/>
      <c r="H28" s="8"/>
      <c r="I28" s="8"/>
      <c r="J28" s="8"/>
      <c r="K28" s="8"/>
      <c r="L28" s="8"/>
      <c r="M28" s="8"/>
      <c r="N28" s="8"/>
    </row>
    <row r="29" spans="1:14" ht="15.05" customHeight="1" x14ac:dyDescent="0.4">
      <c r="A29" s="9"/>
      <c r="B29" s="19" t="s">
        <v>1272</v>
      </c>
      <c r="C29" s="333" t="s">
        <v>1391</v>
      </c>
      <c r="D29" s="21" t="s">
        <v>83</v>
      </c>
      <c r="E29" s="21" t="s">
        <v>83</v>
      </c>
      <c r="F29" s="15"/>
      <c r="G29" s="8"/>
      <c r="H29" s="8"/>
      <c r="I29" s="8"/>
      <c r="J29" s="8"/>
      <c r="K29" s="8"/>
      <c r="L29" s="8"/>
      <c r="M29" s="8"/>
      <c r="N29" s="8"/>
    </row>
    <row r="30" spans="1:14" x14ac:dyDescent="0.4">
      <c r="A30" s="9"/>
      <c r="B30" s="19" t="s">
        <v>25</v>
      </c>
      <c r="C30" s="333" t="s">
        <v>1391</v>
      </c>
      <c r="D30" s="21" t="s">
        <v>83</v>
      </c>
      <c r="E30" s="21" t="s">
        <v>83</v>
      </c>
      <c r="F30" s="15"/>
      <c r="G30" s="8"/>
      <c r="H30" s="8"/>
      <c r="I30" s="8"/>
      <c r="J30" s="8"/>
      <c r="K30" s="8"/>
      <c r="L30" s="8"/>
      <c r="M30" s="8"/>
      <c r="N30" s="8"/>
    </row>
    <row r="31" spans="1:14" x14ac:dyDescent="0.4">
      <c r="A31" s="9"/>
      <c r="B31" s="19" t="s">
        <v>26</v>
      </c>
      <c r="C31" s="333" t="s">
        <v>1391</v>
      </c>
      <c r="D31" s="21" t="s">
        <v>83</v>
      </c>
      <c r="E31" s="21" t="s">
        <v>83</v>
      </c>
      <c r="F31" s="15"/>
      <c r="G31" s="8"/>
      <c r="H31" s="8"/>
      <c r="I31" s="8"/>
      <c r="J31" s="8"/>
      <c r="K31" s="8"/>
      <c r="L31" s="8"/>
      <c r="M31" s="8"/>
      <c r="N31" s="8"/>
    </row>
    <row r="32" spans="1:14" x14ac:dyDescent="0.4">
      <c r="A32" s="9"/>
      <c r="B32" s="19" t="s">
        <v>27</v>
      </c>
      <c r="C32" s="333" t="s">
        <v>1391</v>
      </c>
      <c r="D32" s="21" t="s">
        <v>83</v>
      </c>
      <c r="E32" s="21" t="s">
        <v>83</v>
      </c>
      <c r="F32" s="15"/>
      <c r="G32" s="8"/>
      <c r="H32" s="8"/>
      <c r="I32" s="8"/>
      <c r="J32" s="8"/>
      <c r="K32" s="8"/>
      <c r="L32" s="8"/>
      <c r="M32" s="8"/>
      <c r="N32" s="8"/>
    </row>
    <row r="33" spans="1:14" x14ac:dyDescent="0.4">
      <c r="A33" s="9"/>
      <c r="B33" s="13"/>
      <c r="C33" s="15"/>
      <c r="D33" s="15"/>
      <c r="E33" s="15"/>
      <c r="F33" s="15"/>
      <c r="G33" s="8"/>
      <c r="H33" s="8"/>
      <c r="I33" s="8"/>
      <c r="J33" s="8"/>
      <c r="K33" s="8"/>
      <c r="L33" s="8"/>
      <c r="M33" s="8"/>
      <c r="N33" s="8"/>
    </row>
    <row r="34" spans="1:14" x14ac:dyDescent="0.4">
      <c r="A34" s="9">
        <v>7</v>
      </c>
      <c r="B34" s="365" t="s">
        <v>28</v>
      </c>
      <c r="C34" s="365"/>
      <c r="D34" s="365"/>
      <c r="E34" s="365"/>
      <c r="F34" s="11"/>
      <c r="G34" s="11"/>
      <c r="H34" s="11"/>
      <c r="I34" s="11"/>
      <c r="J34" s="11"/>
      <c r="K34" s="8"/>
      <c r="L34" s="8"/>
      <c r="M34" s="8"/>
      <c r="N34" s="8"/>
    </row>
    <row r="35" spans="1:14" x14ac:dyDescent="0.4">
      <c r="A35" s="9"/>
      <c r="B35" s="17" t="s">
        <v>29</v>
      </c>
      <c r="C35" s="446" t="s">
        <v>1391</v>
      </c>
      <c r="D35" s="446"/>
      <c r="E35" s="446"/>
      <c r="F35" s="13"/>
      <c r="G35" s="8"/>
      <c r="H35" s="8"/>
      <c r="I35" s="8"/>
      <c r="J35" s="8"/>
      <c r="K35" s="8"/>
      <c r="L35" s="8"/>
      <c r="M35" s="8"/>
      <c r="N35" s="8"/>
    </row>
    <row r="36" spans="1:14" x14ac:dyDescent="0.4">
      <c r="A36" s="9"/>
      <c r="B36" s="17" t="s">
        <v>31</v>
      </c>
      <c r="C36" s="446" t="s">
        <v>1392</v>
      </c>
      <c r="D36" s="446"/>
      <c r="E36" s="446"/>
      <c r="F36" s="13"/>
      <c r="G36" s="8"/>
      <c r="H36" s="8"/>
      <c r="I36" s="8"/>
      <c r="J36" s="8"/>
      <c r="K36" s="8"/>
      <c r="L36" s="8"/>
      <c r="M36" s="8"/>
      <c r="N36" s="8"/>
    </row>
    <row r="37" spans="1:14" x14ac:dyDescent="0.4">
      <c r="A37" s="9"/>
      <c r="B37" s="17" t="s">
        <v>32</v>
      </c>
      <c r="C37" s="446" t="s">
        <v>1393</v>
      </c>
      <c r="D37" s="446"/>
      <c r="E37" s="446"/>
      <c r="F37" s="13"/>
      <c r="G37" s="8"/>
      <c r="H37" s="8"/>
      <c r="I37" s="8"/>
      <c r="J37" s="8"/>
      <c r="K37" s="8"/>
      <c r="L37" s="8"/>
      <c r="M37" s="8"/>
      <c r="N37" s="8"/>
    </row>
    <row r="38" spans="1:14" x14ac:dyDescent="0.4">
      <c r="A38" s="9"/>
      <c r="B38" s="8"/>
      <c r="C38" s="13"/>
      <c r="D38" s="13"/>
      <c r="E38" s="13"/>
      <c r="F38" s="13"/>
      <c r="G38" s="8"/>
      <c r="H38" s="8"/>
      <c r="I38" s="8"/>
      <c r="J38" s="8"/>
      <c r="K38" s="8"/>
      <c r="L38" s="8"/>
      <c r="M38" s="8"/>
      <c r="N38" s="8"/>
    </row>
    <row r="39" spans="1:14" x14ac:dyDescent="0.4">
      <c r="A39" s="9"/>
      <c r="B39" s="15"/>
      <c r="C39" s="13"/>
      <c r="D39" s="13"/>
      <c r="E39" s="13"/>
      <c r="F39" s="13"/>
      <c r="G39" s="8"/>
      <c r="H39" s="8"/>
      <c r="I39" s="8"/>
      <c r="J39" s="8"/>
      <c r="K39" s="8"/>
      <c r="L39" s="8"/>
      <c r="M39" s="8"/>
      <c r="N39" s="8"/>
    </row>
    <row r="40" spans="1:14" x14ac:dyDescent="0.4">
      <c r="A40" s="9">
        <v>8</v>
      </c>
      <c r="B40" s="365" t="s">
        <v>1084</v>
      </c>
      <c r="C40" s="365"/>
      <c r="D40" s="365"/>
      <c r="E40" s="365"/>
      <c r="F40" s="11"/>
      <c r="G40" s="11"/>
      <c r="H40" s="11"/>
      <c r="I40" s="11"/>
      <c r="J40" s="11"/>
      <c r="K40" s="8"/>
      <c r="L40" s="8"/>
      <c r="M40" s="8"/>
      <c r="N40" s="8"/>
    </row>
    <row r="41" spans="1:14" x14ac:dyDescent="0.4">
      <c r="A41" s="9"/>
      <c r="B41" s="17" t="s">
        <v>34</v>
      </c>
      <c r="C41" s="446" t="s">
        <v>1391</v>
      </c>
      <c r="D41" s="446"/>
      <c r="E41" s="446"/>
      <c r="F41" s="13"/>
      <c r="G41" s="8"/>
      <c r="H41" s="8"/>
      <c r="I41" s="8"/>
      <c r="J41" s="8"/>
      <c r="K41" s="8"/>
      <c r="L41" s="8"/>
      <c r="M41" s="8"/>
      <c r="N41" s="8"/>
    </row>
    <row r="42" spans="1:14" ht="15.05" customHeight="1" x14ac:dyDescent="0.4">
      <c r="A42" s="9"/>
      <c r="B42" s="17" t="s">
        <v>31</v>
      </c>
      <c r="C42" s="446" t="s">
        <v>1392</v>
      </c>
      <c r="D42" s="446"/>
      <c r="E42" s="446"/>
      <c r="F42" s="13"/>
      <c r="G42" s="8"/>
      <c r="H42" s="8"/>
      <c r="I42" s="8"/>
      <c r="J42" s="8"/>
      <c r="K42" s="8"/>
      <c r="L42" s="8"/>
      <c r="M42" s="8"/>
      <c r="N42" s="8"/>
    </row>
    <row r="43" spans="1:14" ht="15.05" customHeight="1" x14ac:dyDescent="0.4">
      <c r="A43" s="9"/>
      <c r="B43" s="17" t="s">
        <v>32</v>
      </c>
      <c r="C43" s="446" t="s">
        <v>1393</v>
      </c>
      <c r="D43" s="446"/>
      <c r="E43" s="446"/>
      <c r="F43" s="13"/>
      <c r="G43" s="8"/>
      <c r="H43" s="8"/>
      <c r="I43" s="8"/>
      <c r="J43" s="8"/>
      <c r="K43" s="8"/>
      <c r="L43" s="8"/>
      <c r="M43" s="8"/>
      <c r="N43" s="8"/>
    </row>
    <row r="44" spans="1:14" x14ac:dyDescent="0.4">
      <c r="A44" s="9"/>
      <c r="B44" s="363" t="s">
        <v>35</v>
      </c>
      <c r="C44" s="368"/>
      <c r="D44" s="368"/>
      <c r="E44" s="369"/>
      <c r="F44" s="13"/>
      <c r="G44" s="8"/>
      <c r="H44" s="8"/>
      <c r="I44" s="8"/>
      <c r="J44" s="8"/>
      <c r="K44" s="8"/>
      <c r="L44" s="8"/>
      <c r="M44" s="8"/>
      <c r="N44" s="8"/>
    </row>
    <row r="45" spans="1:14" x14ac:dyDescent="0.4">
      <c r="A45" s="2"/>
      <c r="B45" s="8"/>
      <c r="C45" s="8"/>
      <c r="D45" s="23"/>
      <c r="E45" s="13"/>
      <c r="F45" s="8"/>
      <c r="G45" s="8"/>
      <c r="H45" s="8"/>
      <c r="I45" s="8"/>
      <c r="J45" s="8"/>
      <c r="K45" s="8"/>
      <c r="L45" s="8"/>
      <c r="M45" s="8"/>
      <c r="N45" s="8"/>
    </row>
    <row r="46" spans="1:14" x14ac:dyDescent="0.4">
      <c r="A46" s="24">
        <v>9</v>
      </c>
      <c r="B46" s="376" t="s">
        <v>1085</v>
      </c>
      <c r="C46" s="365"/>
      <c r="D46" s="365"/>
      <c r="E46" s="365"/>
      <c r="F46" s="25"/>
      <c r="G46" s="11"/>
      <c r="H46" s="11"/>
      <c r="I46" s="11"/>
      <c r="J46" s="8"/>
      <c r="K46" s="8"/>
      <c r="L46" s="8"/>
      <c r="M46" s="8"/>
      <c r="N46" s="8"/>
    </row>
    <row r="47" spans="1:14" ht="68.349999999999994" customHeight="1" x14ac:dyDescent="0.4">
      <c r="A47" s="24"/>
      <c r="B47" s="26" t="s">
        <v>37</v>
      </c>
      <c r="C47" s="27" t="s">
        <v>38</v>
      </c>
      <c r="D47" s="28" t="s">
        <v>39</v>
      </c>
      <c r="E47" s="27" t="s">
        <v>206</v>
      </c>
      <c r="F47" s="8"/>
      <c r="G47" s="8"/>
      <c r="H47" s="8"/>
      <c r="I47" s="8"/>
      <c r="J47" s="8"/>
      <c r="K47" s="8"/>
      <c r="L47" s="8"/>
      <c r="M47" s="8"/>
      <c r="N47" s="8"/>
    </row>
    <row r="48" spans="1:14" ht="73.25" customHeight="1" x14ac:dyDescent="0.4">
      <c r="A48" s="29"/>
      <c r="B48" s="78" t="s">
        <v>1394</v>
      </c>
      <c r="C48" s="78" t="s">
        <v>1395</v>
      </c>
      <c r="D48" s="290" t="s">
        <v>1396</v>
      </c>
      <c r="E48" s="117" t="s">
        <v>83</v>
      </c>
      <c r="F48" s="8"/>
      <c r="G48" s="8"/>
      <c r="H48" s="8"/>
      <c r="I48" s="8"/>
      <c r="J48" s="8"/>
      <c r="K48" s="8"/>
      <c r="L48" s="8"/>
      <c r="M48" s="8"/>
      <c r="N48" s="8"/>
    </row>
    <row r="49" spans="1:14" x14ac:dyDescent="0.4">
      <c r="A49" s="31"/>
      <c r="B49" s="380" t="s">
        <v>1397</v>
      </c>
      <c r="C49" s="381"/>
      <c r="D49" s="381"/>
      <c r="E49" s="382"/>
      <c r="F49" s="15"/>
      <c r="G49" s="15"/>
      <c r="H49" s="15"/>
      <c r="I49" s="8"/>
      <c r="J49" s="8"/>
      <c r="K49" s="8"/>
      <c r="L49" s="8"/>
      <c r="M49" s="8"/>
      <c r="N49" s="8"/>
    </row>
    <row r="50" spans="1:14" x14ac:dyDescent="0.4">
      <c r="A50" s="32"/>
      <c r="B50" s="62"/>
      <c r="C50" s="23"/>
      <c r="D50" s="23"/>
      <c r="E50" s="23"/>
      <c r="F50" s="15"/>
      <c r="G50" s="15"/>
      <c r="H50" s="15"/>
      <c r="I50" s="15"/>
      <c r="J50" s="8"/>
      <c r="K50" s="8"/>
      <c r="L50" s="8"/>
      <c r="M50" s="8"/>
      <c r="N50" s="8"/>
    </row>
    <row r="51" spans="1:14" x14ac:dyDescent="0.4">
      <c r="A51" s="24">
        <v>10</v>
      </c>
      <c r="B51" s="376" t="s">
        <v>1085</v>
      </c>
      <c r="C51" s="365"/>
      <c r="D51" s="365"/>
      <c r="E51" s="365"/>
      <c r="F51" s="15"/>
      <c r="G51" s="15"/>
      <c r="H51" s="15"/>
      <c r="I51" s="8"/>
      <c r="J51" s="8"/>
      <c r="K51" s="8"/>
      <c r="L51" s="8"/>
      <c r="M51" s="8"/>
      <c r="N51" s="8"/>
    </row>
    <row r="52" spans="1:14" x14ac:dyDescent="0.4">
      <c r="A52" s="29"/>
      <c r="B52" s="383" t="s">
        <v>43</v>
      </c>
      <c r="C52" s="617" t="s">
        <v>1398</v>
      </c>
      <c r="D52" s="618"/>
      <c r="E52" s="619"/>
      <c r="F52" s="8"/>
      <c r="G52" s="8"/>
      <c r="H52" s="8"/>
      <c r="I52" s="8"/>
      <c r="J52" s="8"/>
      <c r="K52" s="1"/>
      <c r="L52" s="8"/>
      <c r="M52" s="8"/>
      <c r="N52" s="8"/>
    </row>
    <row r="53" spans="1:14" ht="45.05" customHeight="1" x14ac:dyDescent="0.4">
      <c r="A53" s="29"/>
      <c r="B53" s="384"/>
      <c r="C53" s="620"/>
      <c r="D53" s="621"/>
      <c r="E53" s="622"/>
      <c r="F53" s="8"/>
      <c r="G53" s="8"/>
      <c r="H53" s="8"/>
      <c r="I53" s="8"/>
      <c r="J53" s="8"/>
      <c r="K53" s="1"/>
      <c r="L53" s="8"/>
      <c r="M53" s="8"/>
      <c r="N53" s="8"/>
    </row>
    <row r="54" spans="1:14" x14ac:dyDescent="0.4">
      <c r="A54" s="24"/>
      <c r="B54" s="33" t="s">
        <v>1399</v>
      </c>
      <c r="C54" s="646" t="s">
        <v>1396</v>
      </c>
      <c r="D54" s="646"/>
      <c r="E54" s="646"/>
      <c r="F54" s="8"/>
      <c r="G54" s="8"/>
      <c r="H54" s="8"/>
      <c r="I54" s="8"/>
      <c r="J54" s="8"/>
      <c r="K54" s="8"/>
      <c r="L54" s="8"/>
      <c r="M54" s="8"/>
      <c r="N54" s="8"/>
    </row>
    <row r="55" spans="1:14" x14ac:dyDescent="0.4">
      <c r="A55" s="29"/>
      <c r="B55" s="33" t="s">
        <v>45</v>
      </c>
      <c r="C55" s="471" t="s">
        <v>46</v>
      </c>
      <c r="D55" s="472"/>
      <c r="E55" s="473"/>
      <c r="F55" s="8"/>
      <c r="G55" s="8"/>
      <c r="H55" s="8"/>
      <c r="I55" s="8"/>
      <c r="J55" s="8"/>
      <c r="K55" s="34"/>
      <c r="L55" s="8"/>
      <c r="M55" s="8"/>
      <c r="N55" s="8"/>
    </row>
    <row r="56" spans="1:14" x14ac:dyDescent="0.4">
      <c r="A56" s="35" t="s">
        <v>47</v>
      </c>
      <c r="B56" s="392" t="s">
        <v>48</v>
      </c>
      <c r="C56" s="392"/>
      <c r="D56" s="392"/>
      <c r="E56" s="392"/>
      <c r="F56" s="63"/>
      <c r="G56" s="63"/>
      <c r="H56" s="63"/>
      <c r="I56" s="63"/>
      <c r="J56" s="63"/>
      <c r="K56" s="63"/>
      <c r="L56" s="63"/>
      <c r="M56" s="63"/>
      <c r="N56" s="63"/>
    </row>
    <row r="57" spans="1:14" x14ac:dyDescent="0.4">
      <c r="A57" s="40"/>
      <c r="B57" s="380" t="s">
        <v>1397</v>
      </c>
      <c r="C57" s="381"/>
      <c r="D57" s="381"/>
      <c r="E57" s="382"/>
      <c r="F57" s="42"/>
      <c r="G57" s="8"/>
      <c r="H57" s="8"/>
      <c r="I57" s="8"/>
      <c r="J57" s="8"/>
      <c r="K57" s="8"/>
      <c r="L57" s="8"/>
      <c r="M57" s="8"/>
      <c r="N57" s="8"/>
    </row>
    <row r="58" spans="1:14" x14ac:dyDescent="0.4">
      <c r="A58" s="9">
        <v>11</v>
      </c>
      <c r="B58" s="3" t="s">
        <v>49</v>
      </c>
      <c r="C58" s="393" t="s">
        <v>1037</v>
      </c>
      <c r="D58" s="393"/>
      <c r="E58" s="393"/>
      <c r="F58" s="11"/>
      <c r="G58" s="11"/>
      <c r="H58" s="43"/>
      <c r="I58" s="11"/>
      <c r="J58" s="11"/>
      <c r="K58" s="8"/>
      <c r="L58" s="8"/>
      <c r="M58" s="8"/>
      <c r="N58" s="8"/>
    </row>
    <row r="59" spans="1:14" x14ac:dyDescent="0.4">
      <c r="A59" s="9"/>
      <c r="B59" s="15"/>
      <c r="C59" s="15"/>
      <c r="D59" s="15"/>
      <c r="E59" s="15"/>
      <c r="F59" s="15"/>
      <c r="G59" s="15"/>
      <c r="H59" s="44"/>
      <c r="I59" s="44"/>
      <c r="J59" s="15"/>
      <c r="K59" s="8"/>
      <c r="L59" s="8"/>
      <c r="M59" s="8"/>
      <c r="N59" s="8"/>
    </row>
    <row r="60" spans="1:14" x14ac:dyDescent="0.4">
      <c r="A60" s="9">
        <v>12</v>
      </c>
      <c r="B60" s="11" t="s">
        <v>51</v>
      </c>
      <c r="C60" s="11"/>
      <c r="D60" s="11"/>
      <c r="E60" s="43"/>
      <c r="F60" s="43"/>
      <c r="G60" s="11"/>
      <c r="H60" s="282"/>
      <c r="I60" s="282"/>
      <c r="J60" s="11"/>
      <c r="K60" s="11"/>
      <c r="L60" s="11"/>
      <c r="M60" s="11"/>
      <c r="N60" s="11"/>
    </row>
    <row r="61" spans="1:14" x14ac:dyDescent="0.4">
      <c r="A61" s="9"/>
      <c r="B61" s="11"/>
      <c r="C61" s="11"/>
      <c r="D61" s="11"/>
      <c r="E61" s="43"/>
      <c r="F61" s="43"/>
      <c r="G61" s="43"/>
      <c r="H61" s="282"/>
      <c r="I61" s="282"/>
      <c r="J61" s="11"/>
      <c r="K61" s="11"/>
      <c r="L61" s="11"/>
      <c r="M61" s="11"/>
      <c r="N61" s="11"/>
    </row>
    <row r="62" spans="1:14" x14ac:dyDescent="0.4">
      <c r="A62" s="9"/>
      <c r="B62" s="17" t="s">
        <v>52</v>
      </c>
      <c r="C62" s="446" t="s">
        <v>1400</v>
      </c>
      <c r="D62" s="446"/>
      <c r="E62" s="446"/>
      <c r="F62" s="44"/>
      <c r="G62" s="44"/>
      <c r="H62" s="15"/>
      <c r="I62" s="15"/>
      <c r="J62" s="15"/>
      <c r="K62" s="15"/>
      <c r="L62" s="15"/>
      <c r="M62" s="15"/>
      <c r="N62" s="15"/>
    </row>
    <row r="63" spans="1:14" x14ac:dyDescent="0.4">
      <c r="A63" s="9"/>
      <c r="B63" s="15"/>
      <c r="C63" s="15"/>
      <c r="D63" s="15"/>
      <c r="E63" s="15"/>
      <c r="F63" s="15"/>
      <c r="G63" s="44"/>
      <c r="H63" s="15"/>
      <c r="I63" s="15"/>
      <c r="J63" s="15"/>
      <c r="K63" s="15"/>
      <c r="L63" s="15"/>
      <c r="M63" s="15"/>
      <c r="N63" s="15"/>
    </row>
    <row r="64" spans="1:14" x14ac:dyDescent="0.4">
      <c r="A64" s="9"/>
      <c r="B64" s="365" t="s">
        <v>53</v>
      </c>
      <c r="C64" s="366" t="s">
        <v>1401</v>
      </c>
      <c r="D64" s="366" t="s">
        <v>1402</v>
      </c>
      <c r="E64" s="403" t="s">
        <v>1629</v>
      </c>
      <c r="F64" s="395" t="s">
        <v>626</v>
      </c>
      <c r="G64" s="396"/>
      <c r="H64" s="397"/>
      <c r="I64" s="398" t="s">
        <v>55</v>
      </c>
      <c r="J64" s="398"/>
      <c r="K64" s="398"/>
      <c r="L64" s="398" t="s">
        <v>56</v>
      </c>
      <c r="M64" s="398"/>
      <c r="N64" s="398"/>
    </row>
    <row r="65" spans="1:14" ht="59.45" customHeight="1" x14ac:dyDescent="0.4">
      <c r="A65" s="2"/>
      <c r="B65" s="365"/>
      <c r="C65" s="402"/>
      <c r="D65" s="402"/>
      <c r="E65" s="404"/>
      <c r="F65" s="17" t="s">
        <v>57</v>
      </c>
      <c r="G65" s="17" t="s">
        <v>58</v>
      </c>
      <c r="H65" s="17" t="s">
        <v>59</v>
      </c>
      <c r="I65" s="17" t="s">
        <v>60</v>
      </c>
      <c r="J65" s="17" t="s">
        <v>58</v>
      </c>
      <c r="K65" s="17" t="s">
        <v>59</v>
      </c>
      <c r="L65" s="17" t="s">
        <v>60</v>
      </c>
      <c r="M65" s="17" t="s">
        <v>58</v>
      </c>
      <c r="N65" s="17" t="s">
        <v>59</v>
      </c>
    </row>
    <row r="66" spans="1:14" x14ac:dyDescent="0.4">
      <c r="A66" s="2"/>
      <c r="B66" s="17" t="s">
        <v>103</v>
      </c>
      <c r="C66" s="284">
        <v>76.25</v>
      </c>
      <c r="D66" s="101">
        <v>75.45</v>
      </c>
      <c r="E66" s="101">
        <v>97.2</v>
      </c>
      <c r="F66" s="101" t="s">
        <v>41</v>
      </c>
      <c r="G66" s="101" t="s">
        <v>41</v>
      </c>
      <c r="H66" s="101" t="s">
        <v>41</v>
      </c>
      <c r="I66" s="101" t="s">
        <v>41</v>
      </c>
      <c r="J66" s="101" t="s">
        <v>41</v>
      </c>
      <c r="K66" s="101" t="s">
        <v>41</v>
      </c>
      <c r="L66" s="101" t="s">
        <v>41</v>
      </c>
      <c r="M66" s="101" t="s">
        <v>41</v>
      </c>
      <c r="N66" s="101" t="s">
        <v>41</v>
      </c>
    </row>
    <row r="67" spans="1:14" ht="25.65" x14ac:dyDescent="0.4">
      <c r="A67" s="2"/>
      <c r="B67" s="17" t="s">
        <v>918</v>
      </c>
      <c r="C67" s="101">
        <v>19512.349999999999</v>
      </c>
      <c r="D67" s="101">
        <v>19406.7</v>
      </c>
      <c r="E67" s="101">
        <v>21513</v>
      </c>
      <c r="F67" s="101" t="s">
        <v>41</v>
      </c>
      <c r="G67" s="101" t="s">
        <v>41</v>
      </c>
      <c r="H67" s="101" t="s">
        <v>41</v>
      </c>
      <c r="I67" s="101" t="s">
        <v>41</v>
      </c>
      <c r="J67" s="101" t="s">
        <v>41</v>
      </c>
      <c r="K67" s="101"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x14ac:dyDescent="0.4">
      <c r="A69" s="2"/>
      <c r="B69" s="551" t="s">
        <v>1092</v>
      </c>
      <c r="C69" s="545"/>
      <c r="D69" s="545"/>
      <c r="E69" s="545"/>
      <c r="F69" s="545"/>
      <c r="G69" s="545"/>
      <c r="H69" s="545"/>
      <c r="I69" s="545"/>
      <c r="J69" s="545"/>
      <c r="K69" s="545"/>
      <c r="L69" s="545"/>
      <c r="M69" s="545"/>
      <c r="N69" s="545"/>
    </row>
    <row r="70" spans="1:14" x14ac:dyDescent="0.4">
      <c r="A70" s="2"/>
      <c r="B70" s="480" t="s">
        <v>63</v>
      </c>
      <c r="C70" s="480"/>
      <c r="D70" s="480"/>
      <c r="E70" s="480"/>
      <c r="F70" s="480"/>
      <c r="G70" s="480"/>
      <c r="H70" s="480"/>
      <c r="I70" s="480"/>
      <c r="J70" s="480"/>
      <c r="K70" s="480"/>
      <c r="L70" s="480"/>
      <c r="M70" s="480"/>
      <c r="N70" s="480"/>
    </row>
    <row r="71" spans="1:14" x14ac:dyDescent="0.4">
      <c r="A71" s="1"/>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49"/>
      <c r="E74" s="49"/>
      <c r="F74" s="49"/>
      <c r="G74" s="13"/>
      <c r="H74" s="13"/>
      <c r="I74" s="13"/>
      <c r="J74" s="13"/>
      <c r="K74" s="13"/>
      <c r="L74" s="13"/>
      <c r="M74" s="13"/>
      <c r="N74" s="13"/>
    </row>
    <row r="75" spans="1:14" x14ac:dyDescent="0.4">
      <c r="A75" s="9">
        <v>13</v>
      </c>
      <c r="B75" s="405" t="s">
        <v>66</v>
      </c>
      <c r="C75" s="406"/>
      <c r="D75" s="406"/>
      <c r="E75" s="406"/>
      <c r="F75" s="406"/>
      <c r="G75" s="376"/>
      <c r="H75" s="11"/>
      <c r="I75" s="11"/>
      <c r="J75" s="11"/>
      <c r="K75" s="11"/>
      <c r="L75" s="11"/>
      <c r="M75" s="11"/>
      <c r="N75" s="11"/>
    </row>
    <row r="76" spans="1:14" x14ac:dyDescent="0.4">
      <c r="A76" s="9"/>
      <c r="B76" s="8"/>
      <c r="C76" s="15"/>
      <c r="D76" s="15"/>
      <c r="E76" s="15"/>
      <c r="F76" s="15"/>
      <c r="G76" s="15"/>
      <c r="H76" s="15"/>
      <c r="I76" s="15"/>
      <c r="J76" s="15"/>
      <c r="K76" s="15"/>
      <c r="L76" s="15"/>
      <c r="M76" s="15"/>
      <c r="N76" s="15"/>
    </row>
    <row r="77" spans="1:14" ht="46.5" customHeight="1" x14ac:dyDescent="0.4">
      <c r="A77" s="2"/>
      <c r="B77" s="50" t="s">
        <v>67</v>
      </c>
      <c r="C77" s="18" t="s">
        <v>68</v>
      </c>
      <c r="D77" s="18" t="s">
        <v>1127</v>
      </c>
      <c r="E77" s="18" t="s">
        <v>218</v>
      </c>
      <c r="F77" s="18" t="s">
        <v>71</v>
      </c>
      <c r="G77" s="18" t="s">
        <v>107</v>
      </c>
      <c r="H77" s="13"/>
      <c r="I77" s="13"/>
      <c r="J77" s="13"/>
      <c r="K77" s="13"/>
      <c r="L77" s="13"/>
      <c r="M77" s="13"/>
      <c r="N77" s="13"/>
    </row>
    <row r="78" spans="1:14" ht="15.05" customHeight="1" x14ac:dyDescent="0.4">
      <c r="A78" s="2"/>
      <c r="B78" s="394" t="s">
        <v>1271</v>
      </c>
      <c r="C78" s="21" t="s">
        <v>1403</v>
      </c>
      <c r="D78" s="151">
        <v>6.08</v>
      </c>
      <c r="E78" s="435" t="s">
        <v>1338</v>
      </c>
      <c r="F78" s="435" t="s">
        <v>1648</v>
      </c>
      <c r="G78" s="435" t="s">
        <v>1649</v>
      </c>
      <c r="H78" s="53"/>
      <c r="I78" s="53"/>
      <c r="J78" s="53"/>
      <c r="K78" s="53"/>
      <c r="L78" s="53"/>
      <c r="M78" s="53"/>
      <c r="N78" s="53"/>
    </row>
    <row r="79" spans="1:14" x14ac:dyDescent="0.4">
      <c r="A79" s="2"/>
      <c r="B79" s="394"/>
      <c r="C79" s="3" t="s">
        <v>765</v>
      </c>
      <c r="D79" s="151"/>
      <c r="E79" s="436"/>
      <c r="F79" s="436"/>
      <c r="G79" s="436"/>
      <c r="H79" s="53"/>
      <c r="I79" s="53"/>
      <c r="J79" s="53"/>
      <c r="K79" s="53"/>
      <c r="L79" s="53"/>
      <c r="M79" s="53"/>
      <c r="N79" s="53"/>
    </row>
    <row r="80" spans="1:14" ht="26.5" x14ac:dyDescent="0.4">
      <c r="A80" s="2"/>
      <c r="B80" s="394"/>
      <c r="C80" s="21" t="s">
        <v>1404</v>
      </c>
      <c r="D80" s="151">
        <v>67.37</v>
      </c>
      <c r="E80" s="436"/>
      <c r="F80" s="436"/>
      <c r="G80" s="436"/>
      <c r="H80" s="53"/>
      <c r="I80" s="53"/>
      <c r="J80" s="53"/>
      <c r="K80" s="53"/>
      <c r="L80" s="53"/>
      <c r="M80" s="53"/>
      <c r="N80" s="53"/>
    </row>
    <row r="81" spans="1:14" x14ac:dyDescent="0.4">
      <c r="A81" s="2"/>
      <c r="B81" s="394"/>
      <c r="C81" s="21" t="s">
        <v>1405</v>
      </c>
      <c r="D81" s="151">
        <v>4.9400000000000004</v>
      </c>
      <c r="E81" s="436"/>
      <c r="F81" s="436"/>
      <c r="G81" s="436"/>
      <c r="H81" s="53"/>
      <c r="I81" s="53"/>
      <c r="J81" s="53"/>
      <c r="K81" s="53"/>
      <c r="L81" s="53"/>
      <c r="M81" s="53"/>
      <c r="N81" s="53"/>
    </row>
    <row r="82" spans="1:14" x14ac:dyDescent="0.4">
      <c r="A82" s="2"/>
      <c r="B82" s="394"/>
      <c r="C82" s="3" t="s">
        <v>74</v>
      </c>
      <c r="D82" s="276">
        <f>+(D80+D81)/2</f>
        <v>36.155000000000001</v>
      </c>
      <c r="E82" s="436"/>
      <c r="F82" s="436"/>
      <c r="G82" s="436"/>
      <c r="H82" s="53"/>
      <c r="I82" s="53"/>
      <c r="J82" s="53"/>
      <c r="K82" s="53"/>
      <c r="L82" s="53"/>
      <c r="M82" s="53"/>
      <c r="N82" s="53"/>
    </row>
    <row r="83" spans="1:14" x14ac:dyDescent="0.4">
      <c r="A83" s="2"/>
      <c r="B83" s="394" t="s">
        <v>75</v>
      </c>
      <c r="C83" s="21" t="s">
        <v>1406</v>
      </c>
      <c r="D83" s="154">
        <v>11.51</v>
      </c>
      <c r="E83" s="436"/>
      <c r="F83" s="436"/>
      <c r="G83" s="436"/>
      <c r="H83" s="53"/>
      <c r="I83" s="53"/>
      <c r="J83" s="53"/>
      <c r="K83" s="53"/>
      <c r="L83" s="53"/>
      <c r="M83" s="53"/>
      <c r="N83" s="53"/>
    </row>
    <row r="84" spans="1:14" x14ac:dyDescent="0.4">
      <c r="A84" s="2"/>
      <c r="B84" s="394"/>
      <c r="C84" s="3" t="s">
        <v>73</v>
      </c>
      <c r="D84" s="151"/>
      <c r="E84" s="436"/>
      <c r="F84" s="436"/>
      <c r="G84" s="436"/>
      <c r="H84" s="53"/>
      <c r="I84" s="53"/>
      <c r="J84" s="53"/>
      <c r="K84" s="53"/>
      <c r="L84" s="53"/>
      <c r="M84" s="53"/>
      <c r="N84" s="53"/>
    </row>
    <row r="85" spans="1:14" ht="26.5" x14ac:dyDescent="0.4">
      <c r="A85" s="2"/>
      <c r="B85" s="394"/>
      <c r="C85" s="21" t="s">
        <v>1404</v>
      </c>
      <c r="D85" s="151">
        <v>18.420000000000002</v>
      </c>
      <c r="E85" s="436"/>
      <c r="F85" s="436"/>
      <c r="G85" s="436"/>
      <c r="H85" s="53"/>
      <c r="I85" s="53"/>
      <c r="J85" s="53"/>
      <c r="K85" s="53"/>
      <c r="L85" s="53"/>
      <c r="M85" s="53"/>
      <c r="N85" s="53"/>
    </row>
    <row r="86" spans="1:14" x14ac:dyDescent="0.4">
      <c r="A86" s="2"/>
      <c r="B86" s="394"/>
      <c r="C86" s="21" t="s">
        <v>1405</v>
      </c>
      <c r="D86" s="151">
        <v>9.18</v>
      </c>
      <c r="E86" s="436"/>
      <c r="F86" s="436"/>
      <c r="G86" s="436"/>
      <c r="H86" s="53"/>
      <c r="I86" s="53"/>
      <c r="J86" s="53"/>
      <c r="K86" s="53"/>
      <c r="L86" s="53"/>
      <c r="M86" s="53"/>
      <c r="N86" s="53"/>
    </row>
    <row r="87" spans="1:14" x14ac:dyDescent="0.4">
      <c r="A87" s="2"/>
      <c r="B87" s="394"/>
      <c r="C87" s="3" t="s">
        <v>74</v>
      </c>
      <c r="D87" s="276">
        <f>+(D85+D86)/2</f>
        <v>13.8</v>
      </c>
      <c r="E87" s="436"/>
      <c r="F87" s="436"/>
      <c r="G87" s="436"/>
      <c r="H87" s="53"/>
      <c r="I87" s="53"/>
      <c r="J87" s="53"/>
      <c r="K87" s="53"/>
      <c r="L87" s="53"/>
      <c r="M87" s="53"/>
      <c r="N87" s="53"/>
    </row>
    <row r="88" spans="1:14" x14ac:dyDescent="0.4">
      <c r="A88" s="2"/>
      <c r="B88" s="394" t="s">
        <v>76</v>
      </c>
      <c r="C88" s="3" t="s">
        <v>1407</v>
      </c>
      <c r="D88" s="277">
        <v>0.2208</v>
      </c>
      <c r="E88" s="436"/>
      <c r="F88" s="436"/>
      <c r="G88" s="436"/>
      <c r="H88" s="53"/>
      <c r="I88" s="53"/>
      <c r="J88" s="53"/>
      <c r="K88" s="53"/>
      <c r="L88" s="53"/>
      <c r="M88" s="53"/>
      <c r="N88" s="53"/>
    </row>
    <row r="89" spans="1:14" x14ac:dyDescent="0.4">
      <c r="A89" s="2"/>
      <c r="B89" s="394"/>
      <c r="C89" s="3" t="s">
        <v>73</v>
      </c>
      <c r="D89" s="151"/>
      <c r="E89" s="436"/>
      <c r="F89" s="436"/>
      <c r="G89" s="436"/>
      <c r="H89" s="53"/>
      <c r="I89" s="53"/>
      <c r="J89" s="53"/>
      <c r="K89" s="53"/>
      <c r="L89" s="53"/>
      <c r="M89" s="53"/>
      <c r="N89" s="53"/>
    </row>
    <row r="90" spans="1:14" ht="26.5" x14ac:dyDescent="0.4">
      <c r="A90" s="2"/>
      <c r="B90" s="394"/>
      <c r="C90" s="21" t="s">
        <v>1404</v>
      </c>
      <c r="D90" s="277">
        <v>0.17080000000000001</v>
      </c>
      <c r="E90" s="436"/>
      <c r="F90" s="436"/>
      <c r="G90" s="436"/>
      <c r="H90" s="53"/>
      <c r="I90" s="53"/>
      <c r="J90" s="53"/>
      <c r="K90" s="53"/>
      <c r="L90" s="53"/>
      <c r="M90" s="53"/>
      <c r="N90" s="53"/>
    </row>
    <row r="91" spans="1:14" x14ac:dyDescent="0.4">
      <c r="A91" s="2"/>
      <c r="B91" s="394"/>
      <c r="C91" s="21" t="s">
        <v>1405</v>
      </c>
      <c r="D91" s="277">
        <v>0.78520000000000001</v>
      </c>
      <c r="E91" s="436"/>
      <c r="F91" s="436"/>
      <c r="G91" s="436"/>
      <c r="H91" s="53"/>
      <c r="I91" s="53"/>
      <c r="J91" s="53"/>
      <c r="K91" s="53"/>
      <c r="L91" s="53"/>
      <c r="M91" s="53"/>
      <c r="N91" s="53"/>
    </row>
    <row r="92" spans="1:14" x14ac:dyDescent="0.4">
      <c r="A92" s="2"/>
      <c r="B92" s="394"/>
      <c r="C92" s="3" t="s">
        <v>74</v>
      </c>
      <c r="D92" s="334">
        <f>+(D90+D91)/2</f>
        <v>0.47799999999999998</v>
      </c>
      <c r="E92" s="436"/>
      <c r="F92" s="436"/>
      <c r="G92" s="436"/>
      <c r="H92" s="53"/>
      <c r="I92" s="53"/>
      <c r="J92" s="53"/>
      <c r="K92" s="53"/>
      <c r="L92" s="53"/>
      <c r="M92" s="53"/>
      <c r="N92" s="53"/>
    </row>
    <row r="93" spans="1:14" x14ac:dyDescent="0.4">
      <c r="A93" s="2"/>
      <c r="B93" s="394" t="s">
        <v>77</v>
      </c>
      <c r="C93" s="3" t="s">
        <v>1407</v>
      </c>
      <c r="D93" s="152">
        <v>27.54</v>
      </c>
      <c r="E93" s="436"/>
      <c r="F93" s="436"/>
      <c r="G93" s="436"/>
      <c r="H93" s="53"/>
      <c r="I93" s="53"/>
      <c r="J93" s="53"/>
      <c r="K93" s="53"/>
      <c r="L93" s="53"/>
      <c r="M93" s="53"/>
      <c r="N93" s="53"/>
    </row>
    <row r="94" spans="1:14" x14ac:dyDescent="0.4">
      <c r="A94" s="2"/>
      <c r="B94" s="394"/>
      <c r="C94" s="3" t="s">
        <v>73</v>
      </c>
      <c r="D94" s="151"/>
      <c r="E94" s="436"/>
      <c r="F94" s="436"/>
      <c r="G94" s="436"/>
      <c r="H94" s="53"/>
      <c r="I94" s="53"/>
      <c r="J94" s="53"/>
      <c r="K94" s="53"/>
      <c r="L94" s="53"/>
      <c r="M94" s="53"/>
      <c r="N94" s="53"/>
    </row>
    <row r="95" spans="1:14" ht="26.5" x14ac:dyDescent="0.4">
      <c r="A95" s="2"/>
      <c r="B95" s="411"/>
      <c r="C95" s="21" t="s">
        <v>1404</v>
      </c>
      <c r="D95" s="151">
        <v>438.25</v>
      </c>
      <c r="E95" s="436"/>
      <c r="F95" s="436"/>
      <c r="G95" s="436"/>
      <c r="H95" s="53"/>
      <c r="I95" s="335"/>
      <c r="J95" s="53"/>
      <c r="K95" s="53"/>
      <c r="L95" s="53"/>
      <c r="M95" s="53"/>
      <c r="N95" s="53"/>
    </row>
    <row r="96" spans="1:14" x14ac:dyDescent="0.4">
      <c r="A96" s="2"/>
      <c r="B96" s="411"/>
      <c r="C96" s="21" t="s">
        <v>1405</v>
      </c>
      <c r="D96" s="151">
        <v>54.17</v>
      </c>
      <c r="E96" s="436"/>
      <c r="F96" s="436"/>
      <c r="G96" s="436"/>
      <c r="H96" s="53"/>
      <c r="I96" s="335"/>
      <c r="J96" s="53"/>
      <c r="K96" s="53"/>
      <c r="L96" s="53"/>
      <c r="M96" s="53"/>
      <c r="N96" s="53"/>
    </row>
    <row r="97" spans="1:14" x14ac:dyDescent="0.4">
      <c r="A97" s="2"/>
      <c r="B97" s="411"/>
      <c r="C97" s="3" t="s">
        <v>74</v>
      </c>
      <c r="D97" s="336">
        <f>+(D95+D96)/2</f>
        <v>246.21</v>
      </c>
      <c r="E97" s="436"/>
      <c r="F97" s="547"/>
      <c r="G97" s="547"/>
      <c r="H97" s="53"/>
      <c r="I97" s="53"/>
      <c r="J97" s="53"/>
      <c r="K97" s="53"/>
      <c r="L97" s="53"/>
      <c r="M97" s="53"/>
      <c r="N97" s="53"/>
    </row>
    <row r="98" spans="1:14" x14ac:dyDescent="0.4">
      <c r="A98" s="1"/>
      <c r="B98" s="412"/>
      <c r="C98" s="469"/>
      <c r="D98" s="469"/>
      <c r="E98" s="469"/>
      <c r="F98" s="469"/>
      <c r="G98" s="650"/>
      <c r="H98" s="1"/>
      <c r="I98" s="1"/>
      <c r="J98" s="1"/>
      <c r="K98" s="1"/>
      <c r="L98" s="1"/>
      <c r="M98" s="1"/>
      <c r="N98" s="1"/>
    </row>
    <row r="99" spans="1:14" ht="15.05" customHeight="1" x14ac:dyDescent="0.4">
      <c r="A99" s="2"/>
      <c r="B99" s="415" t="s">
        <v>1408</v>
      </c>
      <c r="C99" s="416"/>
      <c r="D99" s="416"/>
      <c r="E99" s="416"/>
      <c r="F99" s="416"/>
      <c r="G99" s="417"/>
      <c r="H99" s="53"/>
      <c r="I99" s="53"/>
      <c r="J99" s="53"/>
      <c r="K99" s="53"/>
      <c r="L99" s="53"/>
      <c r="M99" s="53"/>
      <c r="N99" s="53"/>
    </row>
    <row r="100" spans="1:14" ht="15.05" customHeight="1" x14ac:dyDescent="0.4">
      <c r="A100" s="2"/>
      <c r="B100" s="521" t="s">
        <v>85</v>
      </c>
      <c r="C100" s="522"/>
      <c r="D100" s="522"/>
      <c r="E100" s="522"/>
      <c r="F100" s="522"/>
      <c r="G100" s="523"/>
      <c r="H100" s="53"/>
      <c r="I100" s="53"/>
      <c r="J100" s="53"/>
      <c r="K100" s="53"/>
      <c r="L100" s="53"/>
      <c r="M100" s="53"/>
      <c r="N100" s="53"/>
    </row>
    <row r="101" spans="1:14" x14ac:dyDescent="0.4">
      <c r="A101" s="2"/>
      <c r="B101" s="651"/>
      <c r="C101" s="652"/>
      <c r="D101" s="652"/>
      <c r="E101" s="652"/>
      <c r="F101" s="652"/>
      <c r="G101" s="653"/>
      <c r="H101" s="53"/>
      <c r="I101" s="53"/>
      <c r="J101" s="53"/>
      <c r="K101" s="53"/>
      <c r="L101" s="53"/>
      <c r="M101" s="53"/>
      <c r="N101" s="53"/>
    </row>
    <row r="102" spans="1:14" x14ac:dyDescent="0.4">
      <c r="A102" s="8"/>
      <c r="B102" s="8"/>
      <c r="C102" s="449"/>
      <c r="D102" s="449"/>
      <c r="E102" s="449"/>
      <c r="F102" s="449"/>
      <c r="G102" s="449"/>
      <c r="H102" s="53"/>
      <c r="I102" s="53"/>
      <c r="J102" s="8"/>
      <c r="K102" s="8"/>
      <c r="L102" s="8"/>
      <c r="M102" s="8"/>
      <c r="N102" s="8"/>
    </row>
    <row r="103" spans="1:14" x14ac:dyDescent="0.4">
      <c r="A103" s="9">
        <v>14</v>
      </c>
      <c r="B103" s="61" t="s">
        <v>78</v>
      </c>
      <c r="C103" s="444" t="s">
        <v>41</v>
      </c>
      <c r="D103" s="445"/>
      <c r="E103" s="445"/>
      <c r="F103" s="445"/>
      <c r="G103" s="358"/>
      <c r="H103" s="8"/>
      <c r="I103" s="8"/>
      <c r="J103" s="8"/>
      <c r="K103" s="8"/>
      <c r="L103" s="8"/>
      <c r="M103" s="8"/>
      <c r="N103" s="8"/>
    </row>
    <row r="104" spans="1:14" x14ac:dyDescent="0.4">
      <c r="A104" s="23"/>
      <c r="B104" s="448"/>
      <c r="C104" s="449"/>
      <c r="D104" s="449"/>
      <c r="E104" s="449"/>
      <c r="F104" s="449"/>
      <c r="G104" s="450"/>
      <c r="H104" s="8"/>
      <c r="I104" s="8"/>
      <c r="J104" s="8"/>
      <c r="K104" s="8"/>
      <c r="L104" s="8"/>
      <c r="M104" s="8"/>
      <c r="N104" s="8"/>
    </row>
    <row r="105" spans="1:14" x14ac:dyDescent="0.4">
      <c r="A105" s="8"/>
      <c r="B105" s="8"/>
      <c r="C105" s="8"/>
      <c r="D105" s="8"/>
      <c r="E105" s="8"/>
      <c r="F105" s="8"/>
      <c r="G105" s="8"/>
      <c r="H105" s="8"/>
      <c r="I105" s="8"/>
      <c r="J105" s="8"/>
      <c r="K105" s="8"/>
      <c r="L105" s="8"/>
      <c r="M105" s="8"/>
      <c r="N105" s="8"/>
    </row>
    <row r="106" spans="1:14" x14ac:dyDescent="0.4">
      <c r="A106" s="8"/>
      <c r="B106" s="8"/>
      <c r="C106" s="8"/>
      <c r="D106" s="8"/>
      <c r="E106" s="8"/>
      <c r="F106" s="8"/>
      <c r="G106" s="8"/>
      <c r="H106" s="8"/>
      <c r="I106" s="8"/>
      <c r="J106" s="8"/>
      <c r="K106" s="8"/>
      <c r="L106" s="8"/>
      <c r="M106" s="8"/>
      <c r="N106" s="8"/>
    </row>
    <row r="107" spans="1:14" ht="15.05" customHeight="1" x14ac:dyDescent="0.4">
      <c r="A107" s="8"/>
      <c r="B107" s="548" t="s">
        <v>1409</v>
      </c>
      <c r="C107" s="549"/>
      <c r="D107" s="549"/>
      <c r="E107" s="549"/>
      <c r="F107" s="549"/>
      <c r="G107" s="629"/>
      <c r="H107" s="295"/>
      <c r="I107" s="8"/>
      <c r="J107" s="8"/>
      <c r="K107" s="8"/>
      <c r="L107" s="8"/>
      <c r="M107" s="8"/>
      <c r="N107" s="8"/>
    </row>
    <row r="108" spans="1:14" x14ac:dyDescent="0.4">
      <c r="A108" s="8"/>
      <c r="B108" s="8"/>
      <c r="C108" s="8"/>
      <c r="D108" s="8"/>
      <c r="E108" s="8"/>
      <c r="F108" s="8"/>
      <c r="G108" s="8"/>
      <c r="H108" s="8"/>
      <c r="I108" s="8"/>
      <c r="J108" s="8"/>
      <c r="K108" s="8"/>
      <c r="L108" s="8"/>
      <c r="M108" s="8"/>
      <c r="N108" s="8"/>
    </row>
    <row r="109" spans="1:14" ht="15.05" customHeight="1" x14ac:dyDescent="0.4">
      <c r="A109" s="8"/>
      <c r="B109" s="647" t="s">
        <v>1410</v>
      </c>
      <c r="C109" s="648"/>
      <c r="D109" s="648"/>
      <c r="E109" s="648"/>
      <c r="F109" s="648"/>
      <c r="G109" s="649"/>
      <c r="H109" s="8"/>
      <c r="I109" s="337"/>
      <c r="J109" s="8"/>
      <c r="K109" s="8"/>
      <c r="L109" s="8"/>
      <c r="M109" s="8"/>
      <c r="N109" s="8"/>
    </row>
  </sheetData>
  <sheetProtection algorithmName="SHA-512" hashValue="NKugvVOL4ZHGNXqpQPkS6aJ/29zcSru9V0VLSvbn5dFIA7H+NzW3EAyqhpI1wtT7XEkFa+iIrDsJ8ZFCQAirww==" saltValue="b81ppAFUteG9LqCwDK8VoA==" spinCount="100000" sheet="1" objects="1" scenarios="1"/>
  <mergeCells count="68">
    <mergeCell ref="C19:E19"/>
    <mergeCell ref="A2:B2"/>
    <mergeCell ref="C4:E4"/>
    <mergeCell ref="C6:E6"/>
    <mergeCell ref="B7:E7"/>
    <mergeCell ref="C9:E9"/>
    <mergeCell ref="B10:E10"/>
    <mergeCell ref="C12:E12"/>
    <mergeCell ref="B13:E13"/>
    <mergeCell ref="C15:E15"/>
    <mergeCell ref="B16:E16"/>
    <mergeCell ref="B18:E18"/>
    <mergeCell ref="C41:E41"/>
    <mergeCell ref="C20:E20"/>
    <mergeCell ref="C21:E21"/>
    <mergeCell ref="C22:E22"/>
    <mergeCell ref="C23:E23"/>
    <mergeCell ref="B26:E26"/>
    <mergeCell ref="B27:E27"/>
    <mergeCell ref="B34:E34"/>
    <mergeCell ref="C35:E35"/>
    <mergeCell ref="C36:E36"/>
    <mergeCell ref="C37:E37"/>
    <mergeCell ref="B40:E40"/>
    <mergeCell ref="B57:E57"/>
    <mergeCell ref="C42:E42"/>
    <mergeCell ref="C43:E43"/>
    <mergeCell ref="B44:E44"/>
    <mergeCell ref="B46:E46"/>
    <mergeCell ref="B49:E49"/>
    <mergeCell ref="B51:E51"/>
    <mergeCell ref="B52:B53"/>
    <mergeCell ref="C52:E53"/>
    <mergeCell ref="C54:E54"/>
    <mergeCell ref="C55:E55"/>
    <mergeCell ref="B56:E56"/>
    <mergeCell ref="B70:N70"/>
    <mergeCell ref="C58:E58"/>
    <mergeCell ref="C62:E62"/>
    <mergeCell ref="B64:B65"/>
    <mergeCell ref="C64:C65"/>
    <mergeCell ref="D64:D65"/>
    <mergeCell ref="E64:E65"/>
    <mergeCell ref="F64:H64"/>
    <mergeCell ref="I64:K64"/>
    <mergeCell ref="L64:N64"/>
    <mergeCell ref="C68:N68"/>
    <mergeCell ref="B69:N69"/>
    <mergeCell ref="B71:N71"/>
    <mergeCell ref="B72:N72"/>
    <mergeCell ref="B73:N73"/>
    <mergeCell ref="B75:G75"/>
    <mergeCell ref="B78:B82"/>
    <mergeCell ref="E78:E97"/>
    <mergeCell ref="B83:B87"/>
    <mergeCell ref="B88:B92"/>
    <mergeCell ref="B93:B97"/>
    <mergeCell ref="F78:F97"/>
    <mergeCell ref="G78:G97"/>
    <mergeCell ref="B104:G104"/>
    <mergeCell ref="B107:G107"/>
    <mergeCell ref="B109:G109"/>
    <mergeCell ref="B98:G98"/>
    <mergeCell ref="B99:G99"/>
    <mergeCell ref="B100:G100"/>
    <mergeCell ref="B101:G101"/>
    <mergeCell ref="C102:G102"/>
    <mergeCell ref="C103:G103"/>
  </mergeCells>
  <pageMargins left="0.7" right="0.7" top="0.75" bottom="0.75" header="0.3" footer="0.3"/>
  <pageSetup paperSize="8" scale="64" orientation="landscape" verticalDpi="0" r:id="rId1"/>
  <rowBreaks count="1" manualBreakCount="1">
    <brk id="47" max="13" man="1"/>
  </rowBreaks>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N103"/>
  <sheetViews>
    <sheetView view="pageBreakPreview" topLeftCell="A67" zoomScale="60" zoomScaleNormal="98" workbookViewId="0">
      <selection activeCell="B61" sqref="B61:E61"/>
    </sheetView>
  </sheetViews>
  <sheetFormatPr defaultColWidth="9.07421875" defaultRowHeight="13.25" x14ac:dyDescent="0.35"/>
  <cols>
    <col min="1" max="1" width="6.4609375" style="63" bestFit="1" customWidth="1"/>
    <col min="2" max="2" width="46" style="63" bestFit="1" customWidth="1"/>
    <col min="3" max="3" width="19.53515625" style="63" customWidth="1"/>
    <col min="4" max="4" width="18.07421875" style="63" customWidth="1"/>
    <col min="5" max="5" width="18.69140625" style="63" customWidth="1"/>
    <col min="6" max="6" width="14.3046875" style="63" customWidth="1"/>
    <col min="7" max="7" width="21.84375" style="63" customWidth="1"/>
    <col min="8" max="8" width="10" style="63" bestFit="1" customWidth="1"/>
    <col min="9" max="9" width="7.07421875" style="63" bestFit="1" customWidth="1"/>
    <col min="10" max="10" width="9.07421875" style="63" bestFit="1" customWidth="1"/>
    <col min="11" max="11" width="6.84375" style="63" bestFit="1" customWidth="1"/>
    <col min="12" max="12" width="7.07421875" style="63" bestFit="1" customWidth="1"/>
    <col min="13" max="14" width="6.84375" style="63" bestFit="1" customWidth="1"/>
    <col min="15" max="16384" width="9.07421875" style="63"/>
  </cols>
  <sheetData>
    <row r="1" spans="1:14" x14ac:dyDescent="0.35">
      <c r="A1" s="355" t="s">
        <v>0</v>
      </c>
      <c r="B1" s="355"/>
      <c r="C1" s="8"/>
      <c r="D1" s="166"/>
      <c r="E1" s="8"/>
      <c r="F1" s="8"/>
      <c r="G1" s="8"/>
      <c r="H1" s="8"/>
      <c r="I1" s="8"/>
      <c r="J1" s="8"/>
      <c r="K1" s="8"/>
      <c r="L1" s="8"/>
      <c r="M1" s="8"/>
      <c r="N1" s="8"/>
    </row>
    <row r="2" spans="1:14" x14ac:dyDescent="0.35">
      <c r="A2" s="8"/>
      <c r="B2" s="8"/>
      <c r="C2" s="8"/>
      <c r="D2" s="167"/>
      <c r="E2" s="8"/>
      <c r="F2" s="8"/>
      <c r="G2" s="8"/>
      <c r="H2" s="8"/>
      <c r="I2" s="8"/>
      <c r="J2" s="8"/>
      <c r="K2" s="8"/>
      <c r="L2" s="8"/>
      <c r="M2" s="8"/>
      <c r="N2" s="8"/>
    </row>
    <row r="3" spans="1:14" ht="18.8" customHeight="1" x14ac:dyDescent="0.35">
      <c r="A3" s="2" t="s">
        <v>1</v>
      </c>
      <c r="B3" s="3" t="s">
        <v>2</v>
      </c>
      <c r="C3" s="497" t="s">
        <v>1491</v>
      </c>
      <c r="D3" s="497"/>
      <c r="E3" s="497"/>
      <c r="F3" s="8"/>
      <c r="G3" s="8"/>
      <c r="H3" s="8"/>
      <c r="I3" s="8"/>
      <c r="J3" s="8"/>
      <c r="K3" s="8"/>
      <c r="L3" s="8"/>
      <c r="M3" s="8"/>
      <c r="N3" s="8"/>
    </row>
    <row r="4" spans="1:14" x14ac:dyDescent="0.35">
      <c r="A4" s="8"/>
      <c r="B4" s="8"/>
      <c r="C4" s="8"/>
      <c r="D4" s="168"/>
      <c r="E4" s="8"/>
      <c r="F4" s="8"/>
      <c r="G4" s="8"/>
      <c r="H4" s="8"/>
      <c r="I4" s="8"/>
      <c r="J4" s="8"/>
      <c r="K4" s="8"/>
      <c r="L4" s="8"/>
      <c r="M4" s="8"/>
      <c r="N4" s="8"/>
    </row>
    <row r="5" spans="1:14" x14ac:dyDescent="0.35">
      <c r="A5" s="36">
        <v>1</v>
      </c>
      <c r="B5" s="3" t="s">
        <v>3</v>
      </c>
      <c r="C5" s="458" t="s">
        <v>1492</v>
      </c>
      <c r="D5" s="458"/>
      <c r="E5" s="458"/>
      <c r="F5" s="8"/>
      <c r="G5" s="8"/>
      <c r="H5" s="8"/>
      <c r="I5" s="8"/>
      <c r="J5" s="8"/>
      <c r="K5" s="8"/>
      <c r="L5" s="8"/>
      <c r="M5" s="8"/>
      <c r="N5" s="8"/>
    </row>
    <row r="6" spans="1:14" x14ac:dyDescent="0.35">
      <c r="A6" s="9"/>
      <c r="B6" s="480" t="s">
        <v>5</v>
      </c>
      <c r="C6" s="480"/>
      <c r="D6" s="480"/>
      <c r="E6" s="480"/>
      <c r="F6" s="8"/>
      <c r="G6" s="8"/>
      <c r="H6" s="8"/>
      <c r="I6" s="8"/>
      <c r="J6" s="8"/>
      <c r="K6" s="8"/>
      <c r="L6" s="8"/>
      <c r="M6" s="8"/>
      <c r="N6" s="8"/>
    </row>
    <row r="7" spans="1:14" x14ac:dyDescent="0.35">
      <c r="A7" s="9"/>
      <c r="B7" s="11"/>
      <c r="C7" s="8"/>
      <c r="D7" s="168"/>
      <c r="E7" s="8"/>
      <c r="F7" s="8"/>
      <c r="G7" s="8"/>
      <c r="H7" s="8"/>
      <c r="I7" s="8"/>
      <c r="J7" s="8"/>
      <c r="K7" s="8"/>
      <c r="L7" s="8"/>
      <c r="M7" s="8"/>
      <c r="N7" s="8"/>
    </row>
    <row r="8" spans="1:14" x14ac:dyDescent="0.35">
      <c r="A8" s="9">
        <v>2</v>
      </c>
      <c r="B8" s="3" t="s">
        <v>6</v>
      </c>
      <c r="C8" s="497" t="s">
        <v>1493</v>
      </c>
      <c r="D8" s="497"/>
      <c r="E8" s="497"/>
      <c r="F8" s="8"/>
      <c r="G8" s="8"/>
      <c r="H8" s="8"/>
      <c r="I8" s="8"/>
      <c r="J8" s="8"/>
      <c r="K8" s="8"/>
      <c r="L8" s="8"/>
      <c r="M8" s="8"/>
      <c r="N8" s="8"/>
    </row>
    <row r="9" spans="1:14" x14ac:dyDescent="0.35">
      <c r="A9" s="9"/>
      <c r="B9" s="480" t="s">
        <v>5</v>
      </c>
      <c r="C9" s="480"/>
      <c r="D9" s="480"/>
      <c r="E9" s="480"/>
      <c r="F9" s="8"/>
      <c r="G9" s="8"/>
      <c r="H9" s="8"/>
      <c r="I9" s="8"/>
      <c r="J9" s="8"/>
      <c r="K9" s="8"/>
      <c r="L9" s="8"/>
      <c r="M9" s="8"/>
      <c r="N9" s="8"/>
    </row>
    <row r="10" spans="1:14" x14ac:dyDescent="0.35">
      <c r="A10" s="9"/>
      <c r="B10" s="11"/>
      <c r="C10" s="8"/>
      <c r="D10" s="168"/>
      <c r="E10" s="8"/>
      <c r="F10" s="8"/>
      <c r="G10" s="8"/>
      <c r="H10" s="8"/>
      <c r="I10" s="8"/>
      <c r="J10" s="8"/>
      <c r="K10" s="8"/>
      <c r="L10" s="8"/>
      <c r="M10" s="8"/>
      <c r="N10" s="8"/>
    </row>
    <row r="11" spans="1:14" ht="27.05" customHeight="1" x14ac:dyDescent="0.35">
      <c r="A11" s="9">
        <v>3</v>
      </c>
      <c r="B11" s="3" t="s">
        <v>7</v>
      </c>
      <c r="C11" s="458" t="s">
        <v>1109</v>
      </c>
      <c r="D11" s="458"/>
      <c r="E11" s="458"/>
      <c r="F11" s="8"/>
      <c r="G11" s="8"/>
      <c r="H11" s="8"/>
      <c r="I11" s="8"/>
      <c r="J11" s="8"/>
      <c r="K11" s="8"/>
      <c r="L11" s="8"/>
      <c r="M11" s="8"/>
      <c r="N11" s="8"/>
    </row>
    <row r="12" spans="1:14" x14ac:dyDescent="0.35">
      <c r="A12" s="9"/>
      <c r="B12" s="480" t="s">
        <v>5</v>
      </c>
      <c r="C12" s="480"/>
      <c r="D12" s="480"/>
      <c r="E12" s="480"/>
      <c r="F12" s="8"/>
      <c r="G12" s="8"/>
      <c r="H12" s="8"/>
      <c r="I12" s="8"/>
      <c r="J12" s="8"/>
      <c r="K12" s="8"/>
      <c r="L12" s="8"/>
      <c r="M12" s="8"/>
      <c r="N12" s="8"/>
    </row>
    <row r="13" spans="1:14" x14ac:dyDescent="0.35">
      <c r="A13" s="9"/>
      <c r="B13" s="11"/>
      <c r="C13" s="8"/>
      <c r="D13" s="168"/>
      <c r="E13" s="8"/>
      <c r="F13" s="8"/>
      <c r="G13" s="8"/>
      <c r="H13" s="8"/>
      <c r="I13" s="8"/>
      <c r="J13" s="8"/>
      <c r="K13" s="8"/>
      <c r="L13" s="8"/>
      <c r="M13" s="8"/>
      <c r="N13" s="8"/>
    </row>
    <row r="14" spans="1:14" x14ac:dyDescent="0.35">
      <c r="A14" s="9">
        <v>4</v>
      </c>
      <c r="B14" s="3" t="s">
        <v>9</v>
      </c>
      <c r="C14" s="497">
        <v>67.58</v>
      </c>
      <c r="D14" s="497"/>
      <c r="E14" s="497"/>
      <c r="F14" s="8"/>
      <c r="G14" s="8"/>
      <c r="H14" s="8"/>
      <c r="I14" s="8"/>
      <c r="J14" s="8"/>
      <c r="K14" s="8"/>
      <c r="L14" s="8"/>
      <c r="M14" s="8"/>
      <c r="N14" s="8"/>
    </row>
    <row r="15" spans="1:14" x14ac:dyDescent="0.35">
      <c r="A15" s="9"/>
      <c r="B15" s="480" t="s">
        <v>10</v>
      </c>
      <c r="C15" s="480"/>
      <c r="D15" s="480"/>
      <c r="E15" s="480"/>
      <c r="F15" s="8"/>
      <c r="G15" s="8"/>
      <c r="H15" s="8"/>
      <c r="I15" s="8"/>
      <c r="J15" s="8"/>
      <c r="K15" s="8"/>
      <c r="L15" s="8"/>
      <c r="M15" s="8"/>
      <c r="N15" s="8"/>
    </row>
    <row r="16" spans="1:14" x14ac:dyDescent="0.35">
      <c r="A16" s="9"/>
      <c r="B16" s="8"/>
      <c r="C16" s="8"/>
      <c r="D16" s="168"/>
      <c r="E16" s="8"/>
      <c r="F16" s="8"/>
      <c r="G16" s="8"/>
      <c r="H16" s="8"/>
      <c r="I16" s="8"/>
      <c r="J16" s="8"/>
      <c r="K16" s="8"/>
      <c r="L16" s="8"/>
      <c r="M16" s="8"/>
      <c r="N16" s="8"/>
    </row>
    <row r="17" spans="1:14" ht="30.7" customHeight="1" x14ac:dyDescent="0.35">
      <c r="A17" s="9">
        <v>5</v>
      </c>
      <c r="B17" s="365" t="s">
        <v>1082</v>
      </c>
      <c r="C17" s="366"/>
      <c r="D17" s="366"/>
      <c r="E17" s="366"/>
      <c r="F17" s="11"/>
      <c r="G17" s="11"/>
      <c r="H17" s="11"/>
      <c r="I17" s="11"/>
      <c r="J17" s="13"/>
      <c r="K17" s="13"/>
      <c r="L17" s="13"/>
      <c r="M17" s="13"/>
      <c r="N17" s="13"/>
    </row>
    <row r="18" spans="1:14" x14ac:dyDescent="0.35">
      <c r="A18" s="9"/>
      <c r="B18" s="14" t="s">
        <v>12</v>
      </c>
      <c r="C18" s="367">
        <v>0.1898</v>
      </c>
      <c r="D18" s="367"/>
      <c r="E18" s="367"/>
      <c r="F18" s="15"/>
      <c r="G18" s="13"/>
      <c r="H18" s="13"/>
      <c r="I18" s="13"/>
      <c r="J18" s="13"/>
      <c r="K18" s="13"/>
      <c r="L18" s="13"/>
      <c r="M18" s="13"/>
      <c r="N18" s="13"/>
    </row>
    <row r="19" spans="1:14" ht="25.65" x14ac:dyDescent="0.35">
      <c r="A19" s="9"/>
      <c r="B19" s="14" t="s">
        <v>1494</v>
      </c>
      <c r="C19" s="447" t="s">
        <v>1495</v>
      </c>
      <c r="D19" s="447"/>
      <c r="E19" s="447"/>
      <c r="F19" s="15"/>
      <c r="G19" s="13" t="s">
        <v>693</v>
      </c>
      <c r="H19" s="8"/>
      <c r="I19" s="13"/>
      <c r="J19" s="13"/>
      <c r="K19" s="13"/>
      <c r="L19" s="13"/>
      <c r="M19" s="13"/>
      <c r="N19" s="13"/>
    </row>
    <row r="20" spans="1:14" x14ac:dyDescent="0.35">
      <c r="A20" s="9"/>
      <c r="B20" s="14" t="s">
        <v>605</v>
      </c>
      <c r="C20" s="447" t="s">
        <v>319</v>
      </c>
      <c r="D20" s="447"/>
      <c r="E20" s="447"/>
      <c r="F20" s="15"/>
      <c r="G20" s="13"/>
      <c r="H20" s="13"/>
      <c r="I20" s="13"/>
      <c r="J20" s="13"/>
      <c r="K20" s="13"/>
      <c r="L20" s="13"/>
      <c r="M20" s="13"/>
      <c r="N20" s="13"/>
    </row>
    <row r="21" spans="1:14" x14ac:dyDescent="0.35">
      <c r="A21" s="9"/>
      <c r="B21" s="16" t="s">
        <v>15</v>
      </c>
      <c r="C21" s="447" t="s">
        <v>320</v>
      </c>
      <c r="D21" s="447"/>
      <c r="E21" s="447"/>
      <c r="F21" s="15"/>
      <c r="G21" s="13"/>
      <c r="H21" s="13"/>
      <c r="I21" s="13"/>
      <c r="J21" s="13"/>
      <c r="K21" s="13"/>
      <c r="L21" s="13"/>
      <c r="M21" s="13"/>
      <c r="N21" s="13"/>
    </row>
    <row r="22" spans="1:14" x14ac:dyDescent="0.35">
      <c r="A22" s="9"/>
      <c r="B22" s="17" t="s">
        <v>16</v>
      </c>
      <c r="C22" s="446" t="s">
        <v>201</v>
      </c>
      <c r="D22" s="446"/>
      <c r="E22" s="446"/>
      <c r="F22" s="15"/>
      <c r="G22" s="13"/>
      <c r="H22" s="13"/>
      <c r="I22" s="13"/>
      <c r="J22" s="13"/>
      <c r="K22" s="13"/>
      <c r="L22" s="13"/>
      <c r="M22" s="13"/>
      <c r="N22" s="13"/>
    </row>
    <row r="23" spans="1:14" x14ac:dyDescent="0.35">
      <c r="A23" s="9"/>
      <c r="B23" s="15"/>
      <c r="C23" s="15"/>
      <c r="D23" s="170"/>
      <c r="E23" s="15"/>
      <c r="F23" s="15"/>
      <c r="G23" s="13"/>
      <c r="H23" s="13"/>
      <c r="I23" s="13"/>
      <c r="J23" s="13"/>
      <c r="K23" s="13"/>
      <c r="L23" s="13"/>
      <c r="M23" s="13"/>
      <c r="N23" s="13"/>
    </row>
    <row r="24" spans="1:14" x14ac:dyDescent="0.35">
      <c r="A24" s="9">
        <v>6</v>
      </c>
      <c r="B24" s="365" t="s">
        <v>1086</v>
      </c>
      <c r="C24" s="365"/>
      <c r="D24" s="365"/>
      <c r="E24" s="365"/>
      <c r="F24" s="11"/>
      <c r="G24" s="11"/>
      <c r="H24" s="13"/>
      <c r="I24" s="11"/>
      <c r="J24" s="11"/>
      <c r="K24" s="8"/>
      <c r="L24" s="8"/>
      <c r="M24" s="8"/>
      <c r="N24" s="8"/>
    </row>
    <row r="25" spans="1:14" x14ac:dyDescent="0.35">
      <c r="A25" s="9"/>
      <c r="B25" s="370" t="s">
        <v>19</v>
      </c>
      <c r="C25" s="371"/>
      <c r="D25" s="371"/>
      <c r="E25" s="372"/>
      <c r="F25" s="15"/>
      <c r="G25" s="8"/>
      <c r="H25" s="8"/>
      <c r="I25" s="8"/>
      <c r="J25" s="8"/>
      <c r="K25" s="8"/>
      <c r="L25" s="8"/>
      <c r="M25" s="8"/>
      <c r="N25" s="8"/>
    </row>
    <row r="26" spans="1:14" x14ac:dyDescent="0.35">
      <c r="A26" s="9"/>
      <c r="B26" s="17" t="s">
        <v>20</v>
      </c>
      <c r="C26" s="18" t="s">
        <v>262</v>
      </c>
      <c r="D26" s="171" t="s">
        <v>263</v>
      </c>
      <c r="E26" s="18" t="s">
        <v>23</v>
      </c>
      <c r="F26" s="15"/>
      <c r="G26" s="8"/>
      <c r="H26" s="8"/>
      <c r="I26" s="8"/>
      <c r="J26" s="8"/>
      <c r="K26" s="8"/>
      <c r="L26" s="8"/>
      <c r="M26" s="8"/>
      <c r="N26" s="8"/>
    </row>
    <row r="27" spans="1:14" ht="15.05" customHeight="1" x14ac:dyDescent="0.35">
      <c r="A27" s="9"/>
      <c r="B27" s="19" t="s">
        <v>1272</v>
      </c>
      <c r="C27" s="592" t="s">
        <v>1496</v>
      </c>
      <c r="D27" s="592" t="s">
        <v>264</v>
      </c>
      <c r="E27" s="540" t="s">
        <v>203</v>
      </c>
      <c r="F27" s="15"/>
      <c r="G27" s="8"/>
      <c r="H27" s="8"/>
      <c r="I27" s="8"/>
      <c r="J27" s="8"/>
      <c r="K27" s="8"/>
      <c r="L27" s="8"/>
      <c r="M27" s="8"/>
      <c r="N27" s="8"/>
    </row>
    <row r="28" spans="1:14" x14ac:dyDescent="0.35">
      <c r="A28" s="9"/>
      <c r="B28" s="19" t="s">
        <v>25</v>
      </c>
      <c r="C28" s="593"/>
      <c r="D28" s="593"/>
      <c r="E28" s="541"/>
      <c r="F28" s="15"/>
      <c r="G28" s="8"/>
      <c r="H28" s="8"/>
      <c r="I28" s="8"/>
      <c r="J28" s="8"/>
      <c r="K28" s="8"/>
      <c r="L28" s="8"/>
      <c r="M28" s="8"/>
      <c r="N28" s="8"/>
    </row>
    <row r="29" spans="1:14" x14ac:dyDescent="0.35">
      <c r="A29" s="9"/>
      <c r="B29" s="19" t="s">
        <v>26</v>
      </c>
      <c r="C29" s="593"/>
      <c r="D29" s="593"/>
      <c r="E29" s="541"/>
      <c r="F29" s="15"/>
      <c r="G29" s="8"/>
      <c r="H29" s="8"/>
      <c r="I29" s="8"/>
      <c r="J29" s="8"/>
      <c r="K29" s="8"/>
      <c r="L29" s="8"/>
      <c r="M29" s="8"/>
      <c r="N29" s="8"/>
    </row>
    <row r="30" spans="1:14" x14ac:dyDescent="0.35">
      <c r="A30" s="9"/>
      <c r="B30" s="19" t="s">
        <v>27</v>
      </c>
      <c r="C30" s="594"/>
      <c r="D30" s="594"/>
      <c r="E30" s="542"/>
      <c r="F30" s="15"/>
      <c r="G30" s="8"/>
      <c r="H30" s="8"/>
      <c r="I30" s="8"/>
      <c r="J30" s="8"/>
      <c r="K30" s="8"/>
      <c r="L30" s="8"/>
      <c r="M30" s="8"/>
      <c r="N30" s="8"/>
    </row>
    <row r="31" spans="1:14" x14ac:dyDescent="0.35">
      <c r="A31" s="9"/>
      <c r="B31" s="363" t="s">
        <v>1497</v>
      </c>
      <c r="C31" s="368"/>
      <c r="D31" s="368"/>
      <c r="E31" s="369"/>
      <c r="F31" s="15"/>
      <c r="G31" s="8"/>
      <c r="H31" s="8"/>
      <c r="I31" s="8"/>
      <c r="J31" s="8"/>
      <c r="K31" s="8"/>
      <c r="L31" s="8"/>
      <c r="M31" s="8"/>
      <c r="N31" s="8"/>
    </row>
    <row r="32" spans="1:14" x14ac:dyDescent="0.35">
      <c r="A32" s="9"/>
      <c r="B32" s="13"/>
      <c r="C32" s="15"/>
      <c r="D32" s="170"/>
      <c r="E32" s="15"/>
      <c r="F32" s="15"/>
      <c r="G32" s="8"/>
      <c r="H32" s="8"/>
      <c r="I32" s="8"/>
      <c r="J32" s="8"/>
      <c r="K32" s="8"/>
      <c r="L32" s="8"/>
      <c r="M32" s="8"/>
      <c r="N32" s="8"/>
    </row>
    <row r="33" spans="1:14" x14ac:dyDescent="0.35">
      <c r="A33" s="9">
        <v>7</v>
      </c>
      <c r="B33" s="365" t="s">
        <v>28</v>
      </c>
      <c r="C33" s="365"/>
      <c r="D33" s="365"/>
      <c r="E33" s="365"/>
      <c r="F33" s="11"/>
      <c r="G33" s="11"/>
      <c r="H33" s="11"/>
      <c r="I33" s="11"/>
      <c r="J33" s="11"/>
      <c r="K33" s="8"/>
      <c r="L33" s="8"/>
      <c r="M33" s="8"/>
      <c r="N33" s="8"/>
    </row>
    <row r="34" spans="1:14" x14ac:dyDescent="0.35">
      <c r="A34" s="9"/>
      <c r="B34" s="17" t="s">
        <v>29</v>
      </c>
      <c r="C34" s="446" t="s">
        <v>319</v>
      </c>
      <c r="D34" s="446"/>
      <c r="E34" s="446"/>
      <c r="F34" s="13"/>
      <c r="G34" s="8"/>
      <c r="H34" s="8"/>
      <c r="I34" s="8"/>
      <c r="J34" s="8"/>
      <c r="K34" s="8"/>
      <c r="L34" s="8"/>
      <c r="M34" s="8"/>
      <c r="N34" s="8"/>
    </row>
    <row r="35" spans="1:14" x14ac:dyDescent="0.35">
      <c r="A35" s="9"/>
      <c r="B35" s="17" t="s">
        <v>31</v>
      </c>
      <c r="C35" s="446" t="s">
        <v>320</v>
      </c>
      <c r="D35" s="446"/>
      <c r="E35" s="446"/>
      <c r="F35" s="13"/>
      <c r="G35" s="8"/>
      <c r="H35" s="8"/>
      <c r="I35" s="8"/>
      <c r="J35" s="8"/>
      <c r="K35" s="8"/>
      <c r="L35" s="8"/>
      <c r="M35" s="8"/>
      <c r="N35" s="8"/>
    </row>
    <row r="36" spans="1:14" x14ac:dyDescent="0.35">
      <c r="A36" s="9"/>
      <c r="B36" s="17" t="s">
        <v>32</v>
      </c>
      <c r="C36" s="446" t="s">
        <v>201</v>
      </c>
      <c r="D36" s="446"/>
      <c r="E36" s="446"/>
      <c r="F36" s="13"/>
      <c r="G36" s="8"/>
      <c r="H36" s="8"/>
      <c r="I36" s="8"/>
      <c r="J36" s="8"/>
      <c r="K36" s="8"/>
      <c r="L36" s="8"/>
      <c r="M36" s="8"/>
      <c r="N36" s="8"/>
    </row>
    <row r="37" spans="1:14" x14ac:dyDescent="0.35">
      <c r="A37" s="9"/>
      <c r="B37" s="8"/>
      <c r="C37" s="13"/>
      <c r="D37" s="169"/>
      <c r="E37" s="13"/>
      <c r="F37" s="13"/>
      <c r="G37" s="8"/>
      <c r="H37" s="8"/>
      <c r="I37" s="8"/>
      <c r="J37" s="8"/>
      <c r="K37" s="8"/>
      <c r="L37" s="8"/>
      <c r="M37" s="8"/>
      <c r="N37" s="8"/>
    </row>
    <row r="38" spans="1:14" x14ac:dyDescent="0.35">
      <c r="A38" s="9">
        <v>8</v>
      </c>
      <c r="B38" s="365" t="s">
        <v>1084</v>
      </c>
      <c r="C38" s="365"/>
      <c r="D38" s="365"/>
      <c r="E38" s="365"/>
      <c r="F38" s="11"/>
      <c r="G38" s="11"/>
      <c r="H38" s="11"/>
      <c r="I38" s="11"/>
      <c r="J38" s="11"/>
      <c r="K38" s="8"/>
      <c r="L38" s="8"/>
      <c r="M38" s="8"/>
      <c r="N38" s="8"/>
    </row>
    <row r="39" spans="1:14" ht="15.05" customHeight="1" x14ac:dyDescent="0.35">
      <c r="A39" s="9"/>
      <c r="B39" s="17" t="s">
        <v>34</v>
      </c>
      <c r="C39" s="373" t="s">
        <v>1416</v>
      </c>
      <c r="D39" s="374"/>
      <c r="E39" s="375"/>
      <c r="F39" s="13"/>
      <c r="G39" s="8"/>
      <c r="H39" s="8"/>
      <c r="I39" s="8"/>
      <c r="J39" s="8"/>
      <c r="K39" s="8"/>
      <c r="L39" s="8"/>
      <c r="M39" s="8"/>
      <c r="N39" s="8"/>
    </row>
    <row r="40" spans="1:14" x14ac:dyDescent="0.35">
      <c r="A40" s="9"/>
      <c r="B40" s="17" t="s">
        <v>31</v>
      </c>
      <c r="C40" s="373" t="s">
        <v>320</v>
      </c>
      <c r="D40" s="374"/>
      <c r="E40" s="375"/>
      <c r="F40" s="13"/>
      <c r="G40" s="8"/>
      <c r="H40" s="8"/>
      <c r="I40" s="8"/>
      <c r="J40" s="8"/>
      <c r="K40" s="8"/>
      <c r="L40" s="8"/>
      <c r="M40" s="8"/>
      <c r="N40" s="8"/>
    </row>
    <row r="41" spans="1:14" x14ac:dyDescent="0.35">
      <c r="A41" s="9"/>
      <c r="B41" s="17" t="s">
        <v>32</v>
      </c>
      <c r="C41" s="446" t="s">
        <v>201</v>
      </c>
      <c r="D41" s="446"/>
      <c r="E41" s="446"/>
      <c r="F41" s="13"/>
      <c r="G41" s="8"/>
      <c r="H41" s="8"/>
      <c r="I41" s="8"/>
      <c r="J41" s="8"/>
      <c r="K41" s="8"/>
      <c r="L41" s="8"/>
      <c r="M41" s="8"/>
      <c r="N41" s="8"/>
    </row>
    <row r="42" spans="1:14" x14ac:dyDescent="0.35">
      <c r="A42" s="9"/>
      <c r="B42" s="363" t="s">
        <v>848</v>
      </c>
      <c r="C42" s="368"/>
      <c r="D42" s="368"/>
      <c r="E42" s="369"/>
      <c r="F42" s="13"/>
      <c r="G42" s="8"/>
      <c r="H42" s="8"/>
      <c r="I42" s="8"/>
      <c r="J42" s="8"/>
      <c r="K42" s="8"/>
      <c r="L42" s="8"/>
      <c r="M42" s="8"/>
      <c r="N42" s="8"/>
    </row>
    <row r="43" spans="1:14" x14ac:dyDescent="0.35">
      <c r="A43" s="2"/>
      <c r="B43" s="8"/>
      <c r="C43" s="8"/>
      <c r="D43" s="173"/>
      <c r="E43" s="13"/>
      <c r="F43" s="8"/>
      <c r="G43" s="8"/>
      <c r="H43" s="8"/>
      <c r="I43" s="8"/>
      <c r="J43" s="8"/>
      <c r="K43" s="8"/>
      <c r="L43" s="8"/>
      <c r="M43" s="8"/>
      <c r="N43" s="8"/>
    </row>
    <row r="44" spans="1:14" x14ac:dyDescent="0.35">
      <c r="A44" s="24">
        <v>9</v>
      </c>
      <c r="B44" s="376" t="s">
        <v>1085</v>
      </c>
      <c r="C44" s="365"/>
      <c r="D44" s="365"/>
      <c r="E44" s="365"/>
      <c r="F44" s="25"/>
      <c r="G44" s="11"/>
      <c r="H44" s="11"/>
      <c r="I44" s="11"/>
      <c r="J44" s="8"/>
      <c r="K44" s="8"/>
      <c r="L44" s="8"/>
      <c r="M44" s="8"/>
      <c r="N44" s="8"/>
    </row>
    <row r="45" spans="1:14" ht="38.450000000000003" x14ac:dyDescent="0.35">
      <c r="A45" s="24"/>
      <c r="B45" s="26" t="s">
        <v>37</v>
      </c>
      <c r="C45" s="27" t="s">
        <v>38</v>
      </c>
      <c r="D45" s="174" t="s">
        <v>39</v>
      </c>
      <c r="E45" s="27" t="s">
        <v>206</v>
      </c>
      <c r="F45" s="8"/>
      <c r="G45" s="8"/>
      <c r="H45" s="8"/>
      <c r="I45" s="8"/>
      <c r="J45" s="8"/>
      <c r="K45" s="8"/>
      <c r="L45" s="8"/>
      <c r="M45" s="8"/>
      <c r="N45" s="8"/>
    </row>
    <row r="46" spans="1:14" ht="172.3" x14ac:dyDescent="0.35">
      <c r="A46" s="29"/>
      <c r="B46" s="78" t="s">
        <v>1498</v>
      </c>
      <c r="C46" s="345" t="s">
        <v>1499</v>
      </c>
      <c r="D46" s="4" t="s">
        <v>1500</v>
      </c>
      <c r="E46" s="117" t="s">
        <v>186</v>
      </c>
      <c r="F46" s="8"/>
      <c r="G46" s="8"/>
      <c r="H46" s="8"/>
      <c r="I46" s="8"/>
      <c r="J46" s="8"/>
      <c r="K46" s="8"/>
      <c r="L46" s="8"/>
      <c r="M46" s="8"/>
      <c r="N46" s="8"/>
    </row>
    <row r="47" spans="1:14" x14ac:dyDescent="0.35">
      <c r="A47" s="31"/>
      <c r="B47" s="380" t="s">
        <v>1501</v>
      </c>
      <c r="C47" s="381"/>
      <c r="D47" s="381"/>
      <c r="E47" s="382"/>
      <c r="F47" s="15"/>
      <c r="G47" s="15"/>
      <c r="H47" s="15"/>
      <c r="I47" s="8"/>
      <c r="J47" s="8"/>
      <c r="K47" s="8"/>
      <c r="L47" s="8"/>
      <c r="M47" s="8"/>
      <c r="N47" s="8"/>
    </row>
    <row r="48" spans="1:14" x14ac:dyDescent="0.35">
      <c r="A48" s="32"/>
      <c r="B48" s="62"/>
      <c r="C48" s="23"/>
      <c r="D48" s="173"/>
      <c r="E48" s="23"/>
      <c r="F48" s="15"/>
      <c r="G48" s="15"/>
      <c r="H48" s="15"/>
      <c r="I48" s="15"/>
      <c r="J48" s="8"/>
      <c r="K48" s="8"/>
      <c r="L48" s="8"/>
      <c r="M48" s="8"/>
      <c r="N48" s="8"/>
    </row>
    <row r="49" spans="1:14" x14ac:dyDescent="0.35">
      <c r="A49" s="24">
        <v>10</v>
      </c>
      <c r="B49" s="376" t="s">
        <v>1085</v>
      </c>
      <c r="C49" s="365"/>
      <c r="D49" s="365"/>
      <c r="E49" s="365"/>
      <c r="F49" s="15"/>
      <c r="G49" s="15"/>
      <c r="H49" s="15"/>
      <c r="I49" s="8"/>
      <c r="J49" s="8"/>
      <c r="K49" s="8"/>
      <c r="L49" s="8"/>
      <c r="M49" s="8"/>
      <c r="N49" s="8"/>
    </row>
    <row r="50" spans="1:14" ht="21.75" customHeight="1" x14ac:dyDescent="0.35">
      <c r="A50" s="29"/>
      <c r="B50" s="383" t="s">
        <v>43</v>
      </c>
      <c r="C50" s="655" t="s">
        <v>1502</v>
      </c>
      <c r="D50" s="656"/>
      <c r="E50" s="657"/>
      <c r="F50" s="8"/>
      <c r="G50" s="8"/>
      <c r="H50" s="8"/>
      <c r="I50" s="8"/>
      <c r="J50" s="8"/>
      <c r="K50" s="1"/>
      <c r="L50" s="8"/>
      <c r="M50" s="8"/>
      <c r="N50" s="8"/>
    </row>
    <row r="51" spans="1:14" ht="83.3" customHeight="1" x14ac:dyDescent="0.35">
      <c r="A51" s="29"/>
      <c r="B51" s="384"/>
      <c r="C51" s="658"/>
      <c r="D51" s="659"/>
      <c r="E51" s="660"/>
      <c r="F51" s="8"/>
      <c r="G51" s="8"/>
      <c r="H51" s="8"/>
      <c r="I51" s="8"/>
      <c r="J51" s="8"/>
      <c r="K51" s="1"/>
      <c r="L51" s="8"/>
      <c r="M51" s="8"/>
      <c r="N51" s="8"/>
    </row>
    <row r="52" spans="1:14" ht="63.05" customHeight="1" x14ac:dyDescent="0.35">
      <c r="A52" s="24"/>
      <c r="B52" s="33" t="s">
        <v>44</v>
      </c>
      <c r="C52" s="646" t="s">
        <v>1503</v>
      </c>
      <c r="D52" s="646"/>
      <c r="E52" s="646"/>
      <c r="F52" s="8"/>
      <c r="G52" s="8"/>
      <c r="H52" s="8"/>
      <c r="I52" s="8"/>
      <c r="J52" s="8"/>
      <c r="K52" s="8"/>
      <c r="L52" s="8"/>
      <c r="M52" s="8"/>
      <c r="N52" s="8"/>
    </row>
    <row r="53" spans="1:14" x14ac:dyDescent="0.35">
      <c r="A53" s="29"/>
      <c r="B53" s="33" t="s">
        <v>45</v>
      </c>
      <c r="C53" s="471" t="s">
        <v>46</v>
      </c>
      <c r="D53" s="472"/>
      <c r="E53" s="473"/>
      <c r="F53" s="8"/>
      <c r="G53" s="8"/>
      <c r="H53" s="8"/>
      <c r="I53" s="8"/>
      <c r="J53" s="8"/>
      <c r="K53" s="34"/>
      <c r="L53" s="8"/>
      <c r="M53" s="8"/>
      <c r="N53" s="8"/>
    </row>
    <row r="54" spans="1:14" x14ac:dyDescent="0.35">
      <c r="A54" s="29"/>
      <c r="B54" s="480" t="s">
        <v>1504</v>
      </c>
      <c r="C54" s="480"/>
      <c r="D54" s="480"/>
      <c r="E54" s="480"/>
      <c r="F54" s="8"/>
      <c r="G54" s="8"/>
      <c r="H54" s="8"/>
      <c r="I54" s="8"/>
      <c r="J54" s="8"/>
      <c r="K54" s="34"/>
      <c r="L54" s="8"/>
      <c r="M54" s="8"/>
      <c r="N54" s="8"/>
    </row>
    <row r="55" spans="1:14" x14ac:dyDescent="0.35">
      <c r="A55" s="35" t="s">
        <v>47</v>
      </c>
      <c r="B55" s="392" t="s">
        <v>48</v>
      </c>
      <c r="C55" s="392"/>
      <c r="D55" s="392"/>
      <c r="E55" s="392"/>
    </row>
    <row r="56" spans="1:14" x14ac:dyDescent="0.35">
      <c r="A56" s="40"/>
      <c r="B56" s="41"/>
      <c r="C56" s="42"/>
      <c r="D56" s="175"/>
      <c r="E56" s="42"/>
      <c r="F56" s="42"/>
      <c r="G56" s="8"/>
      <c r="H56" s="8"/>
      <c r="I56" s="8"/>
      <c r="J56" s="8"/>
      <c r="K56" s="8"/>
      <c r="L56" s="8"/>
      <c r="M56" s="8"/>
      <c r="N56" s="8"/>
    </row>
    <row r="57" spans="1:14" x14ac:dyDescent="0.35">
      <c r="A57" s="9">
        <v>11</v>
      </c>
      <c r="B57" s="3" t="s">
        <v>49</v>
      </c>
      <c r="C57" s="580" t="s">
        <v>851</v>
      </c>
      <c r="D57" s="580"/>
      <c r="E57" s="580"/>
      <c r="F57" s="11"/>
      <c r="G57" s="11"/>
      <c r="H57" s="43"/>
      <c r="I57" s="11"/>
      <c r="J57" s="11"/>
      <c r="K57" s="8"/>
      <c r="L57" s="8"/>
      <c r="M57" s="8"/>
      <c r="N57" s="8"/>
    </row>
    <row r="58" spans="1:14" x14ac:dyDescent="0.35">
      <c r="A58" s="9"/>
      <c r="B58" s="15"/>
      <c r="C58" s="15"/>
      <c r="D58" s="170"/>
      <c r="E58" s="15"/>
      <c r="F58" s="15"/>
      <c r="G58" s="15"/>
      <c r="H58" s="44"/>
      <c r="I58" s="44"/>
      <c r="J58" s="15"/>
      <c r="K58" s="8"/>
      <c r="L58" s="8"/>
      <c r="M58" s="8"/>
      <c r="N58" s="8"/>
    </row>
    <row r="59" spans="1:14" x14ac:dyDescent="0.35">
      <c r="A59" s="9">
        <v>12</v>
      </c>
      <c r="B59" s="11" t="s">
        <v>51</v>
      </c>
      <c r="C59" s="11"/>
      <c r="D59" s="176"/>
      <c r="E59" s="43"/>
      <c r="F59" s="43"/>
      <c r="G59" s="11"/>
      <c r="H59" s="43"/>
      <c r="I59" s="11"/>
      <c r="J59" s="11"/>
      <c r="K59" s="11"/>
      <c r="L59" s="11"/>
      <c r="M59" s="11"/>
      <c r="N59" s="11"/>
    </row>
    <row r="60" spans="1:14" x14ac:dyDescent="0.35">
      <c r="A60" s="9"/>
      <c r="B60" s="11"/>
      <c r="C60" s="11"/>
      <c r="D60" s="176"/>
      <c r="E60" s="43"/>
      <c r="F60" s="43"/>
      <c r="G60" s="43"/>
      <c r="H60" s="11"/>
      <c r="I60" s="11"/>
      <c r="J60" s="11"/>
      <c r="K60" s="11"/>
      <c r="L60" s="11"/>
      <c r="M60" s="11"/>
      <c r="N60" s="11"/>
    </row>
    <row r="61" spans="1:14" x14ac:dyDescent="0.35">
      <c r="A61" s="9"/>
      <c r="B61" s="17" t="s">
        <v>52</v>
      </c>
      <c r="C61" s="446" t="s">
        <v>1505</v>
      </c>
      <c r="D61" s="446"/>
      <c r="E61" s="446"/>
      <c r="F61" s="44"/>
      <c r="G61" s="44"/>
      <c r="H61" s="15"/>
      <c r="I61" s="15"/>
      <c r="J61" s="15"/>
      <c r="K61" s="15"/>
      <c r="L61" s="15"/>
      <c r="M61" s="15"/>
      <c r="N61" s="15"/>
    </row>
    <row r="62" spans="1:14" x14ac:dyDescent="0.35">
      <c r="A62" s="9"/>
      <c r="B62" s="15"/>
      <c r="C62" s="15"/>
      <c r="D62" s="236"/>
      <c r="E62" s="118"/>
      <c r="F62" s="15"/>
      <c r="G62" s="15"/>
      <c r="H62" s="118"/>
      <c r="I62" s="15"/>
      <c r="J62" s="118"/>
      <c r="K62" s="15"/>
      <c r="L62" s="15"/>
      <c r="M62" s="15"/>
      <c r="N62" s="15"/>
    </row>
    <row r="63" spans="1:14" x14ac:dyDescent="0.35">
      <c r="A63" s="9"/>
      <c r="B63" s="365" t="s">
        <v>53</v>
      </c>
      <c r="C63" s="366" t="s">
        <v>1506</v>
      </c>
      <c r="D63" s="558" t="s">
        <v>271</v>
      </c>
      <c r="E63" s="403" t="s">
        <v>232</v>
      </c>
      <c r="F63" s="395" t="s">
        <v>626</v>
      </c>
      <c r="G63" s="396"/>
      <c r="H63" s="397"/>
      <c r="I63" s="398" t="s">
        <v>55</v>
      </c>
      <c r="J63" s="398"/>
      <c r="K63" s="398"/>
      <c r="L63" s="398" t="s">
        <v>56</v>
      </c>
      <c r="M63" s="398"/>
      <c r="N63" s="398"/>
    </row>
    <row r="64" spans="1:14" ht="38.450000000000003" x14ac:dyDescent="0.35">
      <c r="A64" s="2"/>
      <c r="B64" s="365"/>
      <c r="C64" s="402"/>
      <c r="D64" s="559"/>
      <c r="E64" s="404"/>
      <c r="F64" s="17" t="s">
        <v>57</v>
      </c>
      <c r="G64" s="17" t="s">
        <v>58</v>
      </c>
      <c r="H64" s="17" t="s">
        <v>59</v>
      </c>
      <c r="I64" s="17" t="s">
        <v>60</v>
      </c>
      <c r="J64" s="17" t="s">
        <v>58</v>
      </c>
      <c r="K64" s="17" t="s">
        <v>59</v>
      </c>
      <c r="L64" s="17" t="s">
        <v>60</v>
      </c>
      <c r="M64" s="17" t="s">
        <v>58</v>
      </c>
      <c r="N64" s="17" t="s">
        <v>59</v>
      </c>
    </row>
    <row r="65" spans="1:14" x14ac:dyDescent="0.35">
      <c r="A65" s="2"/>
      <c r="B65" s="17" t="s">
        <v>103</v>
      </c>
      <c r="C65" s="284">
        <v>120.75</v>
      </c>
      <c r="D65" s="101">
        <v>145.44999999999999</v>
      </c>
      <c r="E65" s="101">
        <v>163.15</v>
      </c>
      <c r="F65" s="101" t="s">
        <v>41</v>
      </c>
      <c r="G65" s="101" t="s">
        <v>41</v>
      </c>
      <c r="H65" s="101" t="s">
        <v>41</v>
      </c>
      <c r="I65" s="101" t="s">
        <v>41</v>
      </c>
      <c r="J65" s="101" t="s">
        <v>41</v>
      </c>
      <c r="K65" s="101" t="s">
        <v>41</v>
      </c>
      <c r="L65" s="101" t="s">
        <v>41</v>
      </c>
      <c r="M65" s="101" t="s">
        <v>41</v>
      </c>
      <c r="N65" s="101" t="s">
        <v>41</v>
      </c>
    </row>
    <row r="66" spans="1:14" x14ac:dyDescent="0.35">
      <c r="A66" s="2"/>
      <c r="B66" s="17" t="s">
        <v>1507</v>
      </c>
      <c r="C66" s="284">
        <v>19512.349999999999</v>
      </c>
      <c r="D66" s="101">
        <v>19406.7</v>
      </c>
      <c r="E66" s="101">
        <v>21513</v>
      </c>
      <c r="F66" s="101" t="s">
        <v>41</v>
      </c>
      <c r="G66" s="101" t="s">
        <v>41</v>
      </c>
      <c r="H66" s="101" t="s">
        <v>41</v>
      </c>
      <c r="I66" s="101" t="s">
        <v>41</v>
      </c>
      <c r="J66" s="101" t="s">
        <v>41</v>
      </c>
      <c r="K66" s="101" t="s">
        <v>41</v>
      </c>
      <c r="L66" s="101" t="s">
        <v>41</v>
      </c>
      <c r="M66" s="101" t="s">
        <v>41</v>
      </c>
      <c r="N66" s="101" t="s">
        <v>41</v>
      </c>
    </row>
    <row r="67" spans="1:14" x14ac:dyDescent="0.35">
      <c r="A67" s="2"/>
      <c r="B67" s="17" t="s">
        <v>1087</v>
      </c>
      <c r="C67" s="546" t="s">
        <v>83</v>
      </c>
      <c r="D67" s="546"/>
      <c r="E67" s="546"/>
      <c r="F67" s="546"/>
      <c r="G67" s="546"/>
      <c r="H67" s="546"/>
      <c r="I67" s="546"/>
      <c r="J67" s="546"/>
      <c r="K67" s="546"/>
      <c r="L67" s="546"/>
      <c r="M67" s="546"/>
      <c r="N67" s="546"/>
    </row>
    <row r="68" spans="1:14" s="8" customFormat="1" x14ac:dyDescent="0.4">
      <c r="A68" s="2"/>
      <c r="B68" s="359" t="s">
        <v>1508</v>
      </c>
      <c r="C68" s="359"/>
      <c r="D68" s="359"/>
      <c r="E68" s="359"/>
      <c r="F68" s="359"/>
      <c r="G68" s="359"/>
      <c r="H68" s="359"/>
      <c r="I68" s="359"/>
      <c r="J68" s="359"/>
      <c r="K68" s="359"/>
      <c r="L68" s="359"/>
      <c r="M68" s="359"/>
      <c r="N68" s="359"/>
    </row>
    <row r="69" spans="1:14" x14ac:dyDescent="0.35">
      <c r="A69" s="2"/>
      <c r="B69" s="545" t="s">
        <v>94</v>
      </c>
      <c r="C69" s="545"/>
      <c r="D69" s="545"/>
      <c r="E69" s="545"/>
      <c r="F69" s="545"/>
      <c r="G69" s="545"/>
      <c r="H69" s="545"/>
      <c r="I69" s="545"/>
      <c r="J69" s="545"/>
      <c r="K69" s="545"/>
      <c r="L69" s="545"/>
      <c r="M69" s="545"/>
      <c r="N69" s="545"/>
    </row>
    <row r="70" spans="1:14" x14ac:dyDescent="0.35">
      <c r="A70" s="2"/>
      <c r="B70" s="480" t="s">
        <v>63</v>
      </c>
      <c r="C70" s="480"/>
      <c r="D70" s="480"/>
      <c r="E70" s="480"/>
      <c r="F70" s="480"/>
      <c r="G70" s="480"/>
      <c r="H70" s="480"/>
      <c r="I70" s="480"/>
      <c r="J70" s="480"/>
      <c r="K70" s="480"/>
      <c r="L70" s="480"/>
      <c r="M70" s="480"/>
      <c r="N70" s="480"/>
    </row>
    <row r="71" spans="1:14" x14ac:dyDescent="0.35">
      <c r="A71" s="1"/>
      <c r="B71" s="474" t="s">
        <v>64</v>
      </c>
      <c r="C71" s="474"/>
      <c r="D71" s="474"/>
      <c r="E71" s="474"/>
      <c r="F71" s="474"/>
      <c r="G71" s="474"/>
      <c r="H71" s="474"/>
      <c r="I71" s="474"/>
      <c r="J71" s="474"/>
      <c r="K71" s="474"/>
      <c r="L71" s="474"/>
      <c r="M71" s="474"/>
      <c r="N71" s="474"/>
    </row>
    <row r="72" spans="1:14" x14ac:dyDescent="0.35">
      <c r="A72" s="2"/>
      <c r="B72" s="359" t="s">
        <v>358</v>
      </c>
      <c r="C72" s="359"/>
      <c r="D72" s="359"/>
      <c r="E72" s="359"/>
      <c r="F72" s="359"/>
      <c r="G72" s="359"/>
      <c r="H72" s="359"/>
      <c r="I72" s="359"/>
      <c r="J72" s="359"/>
      <c r="K72" s="359"/>
      <c r="L72" s="359"/>
      <c r="M72" s="359"/>
      <c r="N72" s="359"/>
    </row>
    <row r="73" spans="1:14" x14ac:dyDescent="0.35">
      <c r="A73" s="2"/>
      <c r="B73" s="359" t="s">
        <v>65</v>
      </c>
      <c r="C73" s="359"/>
      <c r="D73" s="359"/>
      <c r="E73" s="359"/>
      <c r="F73" s="359"/>
      <c r="G73" s="359"/>
      <c r="H73" s="359"/>
      <c r="I73" s="359"/>
      <c r="J73" s="359"/>
      <c r="K73" s="359"/>
      <c r="L73" s="359"/>
      <c r="M73" s="359"/>
      <c r="N73" s="359"/>
    </row>
    <row r="74" spans="1:14" x14ac:dyDescent="0.35">
      <c r="A74" s="2"/>
      <c r="B74" s="49"/>
      <c r="C74" s="49"/>
      <c r="D74" s="177"/>
      <c r="E74" s="49"/>
      <c r="F74" s="49"/>
      <c r="G74" s="13"/>
      <c r="H74" s="13"/>
      <c r="I74" s="13"/>
      <c r="J74" s="13"/>
      <c r="K74" s="13"/>
      <c r="L74" s="13" t="s">
        <v>693</v>
      </c>
      <c r="M74" s="13"/>
      <c r="N74" s="13"/>
    </row>
    <row r="75" spans="1:14" ht="48.05" customHeight="1" x14ac:dyDescent="0.35">
      <c r="A75" s="9">
        <v>13</v>
      </c>
      <c r="B75" s="405" t="s">
        <v>66</v>
      </c>
      <c r="C75" s="406"/>
      <c r="D75" s="406"/>
      <c r="E75" s="406"/>
      <c r="F75" s="406"/>
      <c r="G75" s="376"/>
      <c r="H75" s="11"/>
      <c r="I75" s="11"/>
      <c r="J75" s="11"/>
      <c r="K75" s="11"/>
      <c r="L75" s="11"/>
      <c r="M75" s="11"/>
      <c r="N75" s="11"/>
    </row>
    <row r="76" spans="1:14" x14ac:dyDescent="0.35">
      <c r="A76" s="9"/>
      <c r="B76" s="8"/>
      <c r="C76" s="15"/>
      <c r="D76" s="170"/>
      <c r="E76" s="15"/>
      <c r="F76" s="15"/>
      <c r="G76" s="15"/>
      <c r="H76" s="15"/>
      <c r="I76" s="15"/>
      <c r="J76" s="15"/>
      <c r="K76" s="15"/>
      <c r="L76" s="15"/>
      <c r="M76" s="15"/>
      <c r="N76" s="15"/>
    </row>
    <row r="77" spans="1:14" ht="25.65" x14ac:dyDescent="0.35">
      <c r="A77" s="2"/>
      <c r="B77" s="50" t="s">
        <v>67</v>
      </c>
      <c r="C77" s="18" t="s">
        <v>68</v>
      </c>
      <c r="D77" s="171" t="s">
        <v>1127</v>
      </c>
      <c r="E77" s="18" t="s">
        <v>218</v>
      </c>
      <c r="F77" s="18" t="s">
        <v>71</v>
      </c>
      <c r="G77" s="18" t="s">
        <v>107</v>
      </c>
      <c r="H77" s="13"/>
      <c r="I77" s="13"/>
      <c r="J77" s="13"/>
      <c r="K77" s="13"/>
      <c r="L77" s="13"/>
      <c r="M77" s="13"/>
      <c r="N77" s="13"/>
    </row>
    <row r="78" spans="1:14" ht="25.55" customHeight="1" x14ac:dyDescent="0.35">
      <c r="A78" s="2"/>
      <c r="B78" s="603" t="s">
        <v>1271</v>
      </c>
      <c r="C78" s="3" t="s">
        <v>1509</v>
      </c>
      <c r="D78" s="284">
        <v>7.82</v>
      </c>
      <c r="E78" s="435" t="s">
        <v>1510</v>
      </c>
      <c r="F78" s="435" t="s">
        <v>326</v>
      </c>
      <c r="G78" s="435" t="s">
        <v>220</v>
      </c>
      <c r="H78" s="53"/>
      <c r="I78" s="53"/>
      <c r="J78" s="53"/>
      <c r="K78" s="53"/>
      <c r="L78" s="53"/>
      <c r="M78" s="53"/>
      <c r="N78" s="53"/>
    </row>
    <row r="79" spans="1:14" x14ac:dyDescent="0.35">
      <c r="A79" s="2"/>
      <c r="B79" s="604"/>
      <c r="C79" s="3" t="s">
        <v>73</v>
      </c>
      <c r="D79" s="48"/>
      <c r="E79" s="436"/>
      <c r="F79" s="436"/>
      <c r="G79" s="436"/>
      <c r="H79" s="53"/>
      <c r="I79" s="53"/>
      <c r="J79" s="53"/>
      <c r="K79" s="53"/>
      <c r="L79" s="53"/>
      <c r="M79" s="53"/>
      <c r="N79" s="53"/>
    </row>
    <row r="80" spans="1:14" ht="26.1" x14ac:dyDescent="0.35">
      <c r="A80" s="2"/>
      <c r="B80" s="604"/>
      <c r="C80" s="346" t="s">
        <v>1511</v>
      </c>
      <c r="D80" s="284">
        <v>2.4900000000000002</v>
      </c>
      <c r="E80" s="436"/>
      <c r="F80" s="436"/>
      <c r="G80" s="436"/>
      <c r="H80" s="53"/>
      <c r="I80" s="53"/>
      <c r="J80" s="53"/>
      <c r="K80" s="53"/>
      <c r="L80" s="53"/>
      <c r="M80" s="53"/>
      <c r="N80" s="53"/>
    </row>
    <row r="81" spans="1:14" x14ac:dyDescent="0.35">
      <c r="A81" s="2"/>
      <c r="B81" s="654"/>
      <c r="C81" s="3" t="s">
        <v>74</v>
      </c>
      <c r="D81" s="284">
        <v>2.4900000000000002</v>
      </c>
      <c r="E81" s="436"/>
      <c r="F81" s="436"/>
      <c r="G81" s="436"/>
      <c r="H81" s="53"/>
      <c r="I81" s="53"/>
      <c r="J81" s="53"/>
      <c r="K81" s="53"/>
      <c r="L81" s="53"/>
      <c r="M81" s="53"/>
      <c r="N81" s="53"/>
    </row>
    <row r="82" spans="1:14" x14ac:dyDescent="0.35">
      <c r="A82" s="2"/>
      <c r="B82" s="603" t="s">
        <v>75</v>
      </c>
      <c r="C82" s="3" t="s">
        <v>1509</v>
      </c>
      <c r="D82" s="284">
        <v>9.59</v>
      </c>
      <c r="E82" s="436"/>
      <c r="F82" s="436"/>
      <c r="G82" s="436"/>
      <c r="H82" s="53"/>
      <c r="I82" s="53"/>
      <c r="J82" s="53"/>
      <c r="K82" s="53"/>
      <c r="L82" s="53"/>
      <c r="M82" s="53"/>
      <c r="N82" s="53"/>
    </row>
    <row r="83" spans="1:14" x14ac:dyDescent="0.35">
      <c r="A83" s="2"/>
      <c r="B83" s="604"/>
      <c r="C83" s="3" t="s">
        <v>73</v>
      </c>
      <c r="D83" s="284"/>
      <c r="E83" s="436"/>
      <c r="F83" s="436"/>
      <c r="G83" s="436"/>
      <c r="H83" s="53"/>
      <c r="I83" s="53"/>
      <c r="J83" s="53"/>
      <c r="K83" s="53"/>
      <c r="L83" s="53"/>
      <c r="M83" s="53"/>
      <c r="N83" s="53"/>
    </row>
    <row r="84" spans="1:14" ht="26.1" x14ac:dyDescent="0.35">
      <c r="A84" s="2"/>
      <c r="B84" s="604"/>
      <c r="C84" s="346" t="s">
        <v>1511</v>
      </c>
      <c r="D84" s="284">
        <v>57.83</v>
      </c>
      <c r="E84" s="436"/>
      <c r="F84" s="436"/>
      <c r="G84" s="436"/>
      <c r="H84" s="53"/>
      <c r="I84" s="53"/>
      <c r="J84" s="53"/>
      <c r="K84" s="53"/>
      <c r="L84" s="53"/>
      <c r="M84" s="53"/>
      <c r="N84" s="53"/>
    </row>
    <row r="85" spans="1:14" x14ac:dyDescent="0.35">
      <c r="A85" s="2"/>
      <c r="B85" s="654"/>
      <c r="C85" s="3" t="s">
        <v>74</v>
      </c>
      <c r="D85" s="284">
        <v>57.83</v>
      </c>
      <c r="E85" s="436"/>
      <c r="F85" s="436"/>
      <c r="G85" s="436"/>
      <c r="H85" s="53"/>
      <c r="I85" s="53"/>
      <c r="J85" s="53"/>
      <c r="K85" s="53"/>
      <c r="L85" s="53"/>
      <c r="M85" s="53"/>
      <c r="N85" s="53"/>
    </row>
    <row r="86" spans="1:14" x14ac:dyDescent="0.35">
      <c r="A86" s="2"/>
      <c r="B86" s="603" t="s">
        <v>76</v>
      </c>
      <c r="C86" s="3" t="s">
        <v>1509</v>
      </c>
      <c r="D86" s="284">
        <v>45.02</v>
      </c>
      <c r="E86" s="436"/>
      <c r="F86" s="436"/>
      <c r="G86" s="436"/>
      <c r="H86" s="53"/>
      <c r="I86" s="53"/>
      <c r="J86" s="53"/>
      <c r="K86" s="53"/>
      <c r="L86" s="53"/>
      <c r="M86" s="53"/>
      <c r="N86" s="53"/>
    </row>
    <row r="87" spans="1:14" x14ac:dyDescent="0.35">
      <c r="A87" s="2"/>
      <c r="B87" s="604"/>
      <c r="C87" s="3" t="s">
        <v>73</v>
      </c>
      <c r="D87" s="347"/>
      <c r="E87" s="436"/>
      <c r="F87" s="436"/>
      <c r="G87" s="436"/>
      <c r="H87" s="53"/>
      <c r="I87" s="53"/>
      <c r="J87" s="53"/>
      <c r="K87" s="53"/>
      <c r="L87" s="53"/>
      <c r="M87" s="53"/>
      <c r="N87" s="53"/>
    </row>
    <row r="88" spans="1:14" ht="26.1" x14ac:dyDescent="0.35">
      <c r="A88" s="2"/>
      <c r="B88" s="604"/>
      <c r="C88" s="346" t="s">
        <v>1511</v>
      </c>
      <c r="D88" s="347">
        <v>9.3219999999999997E-2</v>
      </c>
      <c r="E88" s="436"/>
      <c r="F88" s="436"/>
      <c r="G88" s="436"/>
      <c r="H88" s="53"/>
      <c r="I88" s="53"/>
      <c r="J88" s="53"/>
      <c r="K88" s="53"/>
      <c r="L88" s="53"/>
      <c r="M88" s="53"/>
      <c r="N88" s="53"/>
    </row>
    <row r="89" spans="1:14" x14ac:dyDescent="0.35">
      <c r="A89" s="2"/>
      <c r="B89" s="654"/>
      <c r="C89" s="3" t="s">
        <v>74</v>
      </c>
      <c r="D89" s="347">
        <v>9.3219999999999997E-2</v>
      </c>
      <c r="E89" s="436"/>
      <c r="F89" s="436"/>
      <c r="G89" s="436"/>
      <c r="H89" s="53"/>
      <c r="I89" s="53"/>
      <c r="J89" s="53"/>
      <c r="K89" s="53"/>
      <c r="L89" s="53"/>
      <c r="M89" s="53"/>
      <c r="N89" s="53"/>
    </row>
    <row r="90" spans="1:14" x14ac:dyDescent="0.35">
      <c r="A90" s="2"/>
      <c r="B90" s="603" t="s">
        <v>77</v>
      </c>
      <c r="C90" s="3" t="s">
        <v>1509</v>
      </c>
      <c r="D90" s="284">
        <v>11.44</v>
      </c>
      <c r="E90" s="436"/>
      <c r="F90" s="436"/>
      <c r="G90" s="436"/>
      <c r="H90" s="53"/>
      <c r="I90" s="53"/>
      <c r="J90" s="53"/>
      <c r="K90" s="53"/>
      <c r="L90" s="53"/>
      <c r="M90" s="53"/>
      <c r="N90" s="53"/>
    </row>
    <row r="91" spans="1:14" x14ac:dyDescent="0.35">
      <c r="A91" s="2"/>
      <c r="B91" s="604"/>
      <c r="C91" s="3" t="s">
        <v>73</v>
      </c>
      <c r="D91" s="284"/>
      <c r="E91" s="436"/>
      <c r="F91" s="436"/>
      <c r="G91" s="436"/>
      <c r="H91" s="53"/>
      <c r="I91" s="53"/>
      <c r="J91" s="53"/>
      <c r="K91" s="53"/>
      <c r="L91" s="53"/>
      <c r="M91" s="53"/>
      <c r="N91" s="53"/>
    </row>
    <row r="92" spans="1:14" ht="26.1" x14ac:dyDescent="0.35">
      <c r="A92" s="2"/>
      <c r="B92" s="604"/>
      <c r="C92" s="346" t="s">
        <v>1511</v>
      </c>
      <c r="D92" s="284">
        <v>11.49</v>
      </c>
      <c r="E92" s="436"/>
      <c r="F92" s="436"/>
      <c r="G92" s="436"/>
      <c r="H92" s="53"/>
      <c r="I92" s="53"/>
      <c r="J92" s="53"/>
      <c r="K92" s="53"/>
      <c r="L92" s="53"/>
      <c r="M92" s="53"/>
      <c r="N92" s="53"/>
    </row>
    <row r="93" spans="1:14" ht="15.05" customHeight="1" x14ac:dyDescent="0.35">
      <c r="A93" s="2"/>
      <c r="B93" s="604"/>
      <c r="C93" s="3" t="s">
        <v>74</v>
      </c>
      <c r="D93" s="284">
        <v>11.49</v>
      </c>
      <c r="E93" s="547"/>
      <c r="F93" s="547"/>
      <c r="G93" s="547"/>
      <c r="H93" s="53"/>
      <c r="I93" s="53"/>
      <c r="J93" s="53"/>
      <c r="K93" s="53"/>
      <c r="L93" s="53"/>
      <c r="M93" s="53"/>
      <c r="N93" s="53"/>
    </row>
    <row r="94" spans="1:14" ht="15.8" customHeight="1" x14ac:dyDescent="0.35">
      <c r="A94" s="8"/>
      <c r="B94" s="630" t="s">
        <v>1512</v>
      </c>
      <c r="C94" s="630"/>
      <c r="D94" s="630"/>
      <c r="E94" s="630"/>
      <c r="F94" s="630"/>
      <c r="G94" s="630"/>
      <c r="H94" s="53"/>
      <c r="I94" s="53"/>
      <c r="J94" s="8"/>
      <c r="K94" s="8"/>
      <c r="L94" s="8"/>
      <c r="M94" s="8"/>
      <c r="N94" s="8"/>
    </row>
    <row r="95" spans="1:14" x14ac:dyDescent="0.35">
      <c r="A95" s="23"/>
      <c r="B95" s="61" t="s">
        <v>78</v>
      </c>
      <c r="C95" s="497" t="s">
        <v>41</v>
      </c>
      <c r="D95" s="497"/>
      <c r="E95" s="497"/>
      <c r="F95" s="497"/>
      <c r="G95" s="497"/>
      <c r="H95" s="8"/>
      <c r="I95" s="8"/>
      <c r="J95" s="8"/>
      <c r="K95" s="8"/>
      <c r="L95" s="8"/>
      <c r="M95" s="8"/>
      <c r="N95" s="8"/>
    </row>
    <row r="96" spans="1:14" x14ac:dyDescent="0.35">
      <c r="A96" s="8"/>
      <c r="B96" s="8"/>
      <c r="C96" s="10"/>
      <c r="D96" s="208"/>
      <c r="E96" s="200"/>
      <c r="F96" s="200"/>
      <c r="G96" s="200"/>
      <c r="H96" s="8"/>
      <c r="I96" s="8"/>
      <c r="J96" s="8"/>
      <c r="K96" s="8"/>
      <c r="L96" s="8"/>
      <c r="M96" s="8"/>
      <c r="N96" s="8"/>
    </row>
    <row r="97" spans="1:14" x14ac:dyDescent="0.35">
      <c r="A97" s="8"/>
      <c r="B97" s="8"/>
      <c r="C97" s="8"/>
      <c r="D97" s="208"/>
      <c r="H97" s="8"/>
      <c r="I97" s="8"/>
      <c r="J97" s="8"/>
      <c r="K97" s="8"/>
      <c r="L97" s="8"/>
      <c r="M97" s="8"/>
      <c r="N97" s="8"/>
    </row>
    <row r="98" spans="1:14" ht="15.05" customHeight="1" x14ac:dyDescent="0.35">
      <c r="A98" s="8"/>
      <c r="B98" s="8"/>
      <c r="C98" s="8"/>
      <c r="D98" s="167"/>
      <c r="H98" s="200"/>
      <c r="I98" s="8"/>
      <c r="J98" s="8"/>
      <c r="K98" s="8"/>
      <c r="L98" s="8"/>
      <c r="M98" s="8"/>
      <c r="N98" s="8"/>
    </row>
    <row r="99" spans="1:14" ht="15.05" customHeight="1" x14ac:dyDescent="0.35">
      <c r="B99" s="538" t="s">
        <v>1513</v>
      </c>
      <c r="C99" s="538"/>
      <c r="D99" s="538"/>
      <c r="E99" s="538"/>
      <c r="F99" s="538"/>
      <c r="G99" s="538"/>
    </row>
    <row r="100" spans="1:14" x14ac:dyDescent="0.35">
      <c r="C100" s="296"/>
      <c r="D100" s="296"/>
    </row>
    <row r="101" spans="1:14" x14ac:dyDescent="0.35">
      <c r="C101" s="348"/>
    </row>
    <row r="102" spans="1:14" x14ac:dyDescent="0.35">
      <c r="C102" s="296"/>
      <c r="D102" s="296"/>
    </row>
    <row r="103" spans="1:14" x14ac:dyDescent="0.35">
      <c r="C103" s="296"/>
    </row>
  </sheetData>
  <sheetProtection algorithmName="SHA-512" hashValue="fqAGfJHmG3GQj7j7VpjSNGXOQrUgJRdXigWoCors4lMSaM3gRnvCOnh8kuJ510jwNPCFUXxElxnOr+SgKsRcCg==" saltValue="ShQxhz6bGdfjzg55TMzSwg==" spinCount="100000" sheet="1" objects="1" scenarios="1"/>
  <mergeCells count="67">
    <mergeCell ref="B9:E9"/>
    <mergeCell ref="A1:B1"/>
    <mergeCell ref="C3:E3"/>
    <mergeCell ref="C5:E5"/>
    <mergeCell ref="B6:E6"/>
    <mergeCell ref="C8:E8"/>
    <mergeCell ref="B25:E25"/>
    <mergeCell ref="C11:E11"/>
    <mergeCell ref="B12:E12"/>
    <mergeCell ref="C14:E14"/>
    <mergeCell ref="B15:E15"/>
    <mergeCell ref="B17:E17"/>
    <mergeCell ref="C18:E18"/>
    <mergeCell ref="C19:E19"/>
    <mergeCell ref="C20:E20"/>
    <mergeCell ref="C21:E21"/>
    <mergeCell ref="C22:E22"/>
    <mergeCell ref="B24:E24"/>
    <mergeCell ref="C41:E41"/>
    <mergeCell ref="C27:C30"/>
    <mergeCell ref="D27:D30"/>
    <mergeCell ref="E27:E30"/>
    <mergeCell ref="B31:E31"/>
    <mergeCell ref="B33:E33"/>
    <mergeCell ref="C34:E34"/>
    <mergeCell ref="C35:E35"/>
    <mergeCell ref="C36:E36"/>
    <mergeCell ref="B38:E38"/>
    <mergeCell ref="C39:E39"/>
    <mergeCell ref="C40:E40"/>
    <mergeCell ref="C61:E61"/>
    <mergeCell ref="B42:E42"/>
    <mergeCell ref="B44:E44"/>
    <mergeCell ref="B47:E47"/>
    <mergeCell ref="B49:E49"/>
    <mergeCell ref="B50:B51"/>
    <mergeCell ref="C50:E51"/>
    <mergeCell ref="C52:E52"/>
    <mergeCell ref="C53:E53"/>
    <mergeCell ref="B54:E54"/>
    <mergeCell ref="B55:E55"/>
    <mergeCell ref="C57:E57"/>
    <mergeCell ref="B71:N71"/>
    <mergeCell ref="B63:B64"/>
    <mergeCell ref="C63:C64"/>
    <mergeCell ref="D63:D64"/>
    <mergeCell ref="E63:E64"/>
    <mergeCell ref="F63:H63"/>
    <mergeCell ref="I63:K63"/>
    <mergeCell ref="L63:N63"/>
    <mergeCell ref="C67:N67"/>
    <mergeCell ref="B68:N68"/>
    <mergeCell ref="B69:N69"/>
    <mergeCell ref="B70:N70"/>
    <mergeCell ref="B94:G94"/>
    <mergeCell ref="C95:G95"/>
    <mergeCell ref="B99:G99"/>
    <mergeCell ref="B72:N72"/>
    <mergeCell ref="B73:N73"/>
    <mergeCell ref="B75:G75"/>
    <mergeCell ref="B78:B81"/>
    <mergeCell ref="E78:E93"/>
    <mergeCell ref="F78:F93"/>
    <mergeCell ref="G78:G93"/>
    <mergeCell ref="B82:B85"/>
    <mergeCell ref="B86:B89"/>
    <mergeCell ref="B90:B93"/>
  </mergeCells>
  <pageMargins left="0.7" right="0.7" top="0.75" bottom="0.75" header="0.3" footer="0.3"/>
  <pageSetup paperSize="8" scale="97" orientation="landscape" verticalDpi="0" r:id="rId1"/>
  <legacy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N120"/>
  <sheetViews>
    <sheetView view="pageBreakPreview" topLeftCell="A90" zoomScale="74" zoomScaleNormal="100" zoomScaleSheetLayoutView="115" zoomScalePageLayoutView="50" workbookViewId="0">
      <selection activeCell="B61" sqref="B61:E61"/>
    </sheetView>
  </sheetViews>
  <sheetFormatPr defaultColWidth="8.84375" defaultRowHeight="13.25" x14ac:dyDescent="0.4"/>
  <cols>
    <col min="1" max="1" width="8.84375" style="8"/>
    <col min="2" max="2" width="40.84375" style="8" customWidth="1"/>
    <col min="3" max="3" width="38.07421875" style="8" customWidth="1"/>
    <col min="4" max="4" width="25.53515625" style="8" customWidth="1"/>
    <col min="5" max="5" width="15.07421875" style="8" customWidth="1"/>
    <col min="6" max="6" width="11.3046875" style="8" customWidth="1"/>
    <col min="7" max="7" width="12.69140625" style="8" customWidth="1"/>
    <col min="8" max="16384" width="8.84375" style="8"/>
  </cols>
  <sheetData>
    <row r="1" spans="1:5" x14ac:dyDescent="0.4">
      <c r="A1" s="355" t="s">
        <v>0</v>
      </c>
      <c r="B1" s="355"/>
      <c r="D1" s="1"/>
    </row>
    <row r="3" spans="1:5" x14ac:dyDescent="0.4">
      <c r="A3" s="2" t="s">
        <v>1</v>
      </c>
      <c r="B3" s="3" t="s">
        <v>2</v>
      </c>
      <c r="C3" s="444" t="s">
        <v>1331</v>
      </c>
      <c r="D3" s="445"/>
      <c r="E3" s="358"/>
    </row>
    <row r="4" spans="1:5" x14ac:dyDescent="0.4">
      <c r="D4" s="5"/>
    </row>
    <row r="5" spans="1:5" x14ac:dyDescent="0.4">
      <c r="A5" s="36">
        <v>1</v>
      </c>
      <c r="B5" s="3" t="s">
        <v>3</v>
      </c>
      <c r="C5" s="458" t="s">
        <v>1091</v>
      </c>
      <c r="D5" s="458"/>
      <c r="E5" s="458"/>
    </row>
    <row r="6" spans="1:5" x14ac:dyDescent="0.4">
      <c r="A6" s="9"/>
      <c r="B6" s="480" t="s">
        <v>5</v>
      </c>
      <c r="C6" s="480"/>
      <c r="D6" s="480"/>
      <c r="E6" s="480"/>
    </row>
    <row r="7" spans="1:5" x14ac:dyDescent="0.4">
      <c r="A7" s="9"/>
      <c r="B7" s="11"/>
      <c r="D7" s="5"/>
    </row>
    <row r="8" spans="1:5" x14ac:dyDescent="0.4">
      <c r="A8" s="9">
        <v>2</v>
      </c>
      <c r="B8" s="3" t="s">
        <v>6</v>
      </c>
      <c r="C8" s="497" t="s">
        <v>1332</v>
      </c>
      <c r="D8" s="497"/>
      <c r="E8" s="497"/>
    </row>
    <row r="9" spans="1:5" x14ac:dyDescent="0.4">
      <c r="A9" s="9"/>
      <c r="B9" s="480" t="s">
        <v>5</v>
      </c>
      <c r="C9" s="480"/>
      <c r="D9" s="480"/>
      <c r="E9" s="480"/>
    </row>
    <row r="10" spans="1:5" x14ac:dyDescent="0.4">
      <c r="A10" s="9"/>
      <c r="B10" s="11"/>
      <c r="D10" s="5"/>
    </row>
    <row r="11" spans="1:5" x14ac:dyDescent="0.4">
      <c r="A11" s="9">
        <v>3</v>
      </c>
      <c r="B11" s="3" t="s">
        <v>7</v>
      </c>
      <c r="C11" s="458" t="s">
        <v>1109</v>
      </c>
      <c r="D11" s="458"/>
      <c r="E11" s="458"/>
    </row>
    <row r="12" spans="1:5" x14ac:dyDescent="0.4">
      <c r="A12" s="9"/>
      <c r="B12" s="480" t="s">
        <v>5</v>
      </c>
      <c r="C12" s="480"/>
      <c r="D12" s="480"/>
      <c r="E12" s="480"/>
    </row>
    <row r="13" spans="1:5" x14ac:dyDescent="0.4">
      <c r="A13" s="9"/>
      <c r="B13" s="11"/>
      <c r="D13" s="5"/>
    </row>
    <row r="14" spans="1:5" x14ac:dyDescent="0.4">
      <c r="A14" s="9">
        <v>4</v>
      </c>
      <c r="B14" s="3" t="s">
        <v>9</v>
      </c>
      <c r="C14" s="497" t="s">
        <v>1339</v>
      </c>
      <c r="D14" s="497"/>
      <c r="E14" s="497"/>
    </row>
    <row r="15" spans="1:5" ht="13.5" customHeight="1" x14ac:dyDescent="0.4">
      <c r="A15" s="9"/>
      <c r="B15" s="480" t="s">
        <v>10</v>
      </c>
      <c r="C15" s="480"/>
      <c r="D15" s="480"/>
      <c r="E15" s="480"/>
    </row>
    <row r="16" spans="1:5" x14ac:dyDescent="0.4">
      <c r="A16" s="9"/>
      <c r="D16" s="5"/>
    </row>
    <row r="17" spans="1:14" x14ac:dyDescent="0.4">
      <c r="A17" s="9">
        <v>5</v>
      </c>
      <c r="B17" s="365" t="s">
        <v>1082</v>
      </c>
      <c r="C17" s="366"/>
      <c r="D17" s="366"/>
      <c r="E17" s="366"/>
      <c r="F17" s="11"/>
      <c r="G17" s="11"/>
      <c r="H17" s="11"/>
      <c r="I17" s="11"/>
      <c r="J17" s="13"/>
      <c r="K17" s="13"/>
      <c r="L17" s="13"/>
      <c r="M17" s="13"/>
      <c r="N17" s="13"/>
    </row>
    <row r="18" spans="1:14" x14ac:dyDescent="0.4">
      <c r="A18" s="9"/>
      <c r="B18" s="14" t="s">
        <v>12</v>
      </c>
      <c r="C18" s="661">
        <v>9.0586E-2</v>
      </c>
      <c r="D18" s="661"/>
      <c r="E18" s="661"/>
      <c r="F18" s="15"/>
      <c r="G18" s="13"/>
      <c r="H18" s="13"/>
      <c r="I18" s="13"/>
      <c r="J18" s="13"/>
      <c r="K18" s="13"/>
      <c r="L18" s="13"/>
      <c r="M18" s="13"/>
      <c r="N18" s="13"/>
    </row>
    <row r="19" spans="1:14" ht="25.65" x14ac:dyDescent="0.4">
      <c r="A19" s="9"/>
      <c r="B19" s="14" t="s">
        <v>1043</v>
      </c>
      <c r="C19" s="367" t="s">
        <v>1308</v>
      </c>
      <c r="D19" s="354"/>
      <c r="E19" s="354"/>
      <c r="F19" s="15"/>
      <c r="G19" s="13"/>
      <c r="I19" s="13"/>
      <c r="J19" s="13"/>
      <c r="K19" s="13"/>
      <c r="L19" s="13"/>
      <c r="M19" s="13"/>
      <c r="N19" s="13"/>
    </row>
    <row r="20" spans="1:14" x14ac:dyDescent="0.4">
      <c r="A20" s="9"/>
      <c r="B20" s="14" t="s">
        <v>605</v>
      </c>
      <c r="C20" s="367" t="s">
        <v>1308</v>
      </c>
      <c r="D20" s="354"/>
      <c r="E20" s="354"/>
      <c r="F20" s="15"/>
      <c r="G20" s="13"/>
      <c r="H20" s="13"/>
      <c r="I20" s="13"/>
      <c r="J20" s="13"/>
      <c r="K20" s="13"/>
      <c r="L20" s="13"/>
      <c r="M20" s="13"/>
      <c r="N20" s="13"/>
    </row>
    <row r="21" spans="1:14" x14ac:dyDescent="0.4">
      <c r="A21" s="9"/>
      <c r="B21" s="14" t="s">
        <v>15</v>
      </c>
      <c r="C21" s="367" t="s">
        <v>1309</v>
      </c>
      <c r="D21" s="354"/>
      <c r="E21" s="354"/>
      <c r="F21" s="15"/>
      <c r="G21" s="13"/>
      <c r="H21" s="13"/>
      <c r="I21" s="13"/>
      <c r="J21" s="13"/>
      <c r="K21" s="13"/>
      <c r="L21" s="13"/>
      <c r="M21" s="13"/>
      <c r="N21" s="13"/>
    </row>
    <row r="22" spans="1:14" x14ac:dyDescent="0.4">
      <c r="A22" s="9"/>
      <c r="B22" s="14" t="s">
        <v>16</v>
      </c>
      <c r="C22" s="367" t="s">
        <v>1310</v>
      </c>
      <c r="D22" s="354"/>
      <c r="E22" s="354"/>
      <c r="F22" s="15"/>
      <c r="G22" s="13"/>
      <c r="H22" s="13"/>
      <c r="I22" s="13"/>
      <c r="J22" s="13"/>
      <c r="K22" s="13"/>
      <c r="L22" s="13"/>
      <c r="M22" s="13"/>
      <c r="N22" s="13"/>
    </row>
    <row r="23" spans="1:14" x14ac:dyDescent="0.4">
      <c r="A23" s="9"/>
      <c r="C23" s="13"/>
      <c r="D23" s="13"/>
      <c r="E23" s="13"/>
      <c r="F23" s="15"/>
      <c r="G23" s="13"/>
      <c r="H23" s="13"/>
      <c r="I23" s="13"/>
      <c r="J23" s="13"/>
      <c r="K23" s="13"/>
      <c r="L23" s="13"/>
      <c r="M23" s="13"/>
      <c r="N23" s="13"/>
    </row>
    <row r="24" spans="1:14" x14ac:dyDescent="0.4">
      <c r="A24" s="9"/>
      <c r="B24" s="15"/>
      <c r="C24" s="15"/>
      <c r="D24" s="15"/>
      <c r="E24" s="15"/>
      <c r="F24" s="15"/>
      <c r="G24" s="13"/>
      <c r="H24" s="13"/>
      <c r="I24" s="13"/>
      <c r="J24" s="13"/>
      <c r="K24" s="13"/>
      <c r="L24" s="13"/>
      <c r="M24" s="13"/>
      <c r="N24" s="13"/>
    </row>
    <row r="25" spans="1:14" x14ac:dyDescent="0.4">
      <c r="A25" s="9">
        <v>6</v>
      </c>
      <c r="B25" s="365" t="s">
        <v>1086</v>
      </c>
      <c r="C25" s="365"/>
      <c r="D25" s="365"/>
      <c r="E25" s="365"/>
      <c r="F25" s="11"/>
      <c r="G25" s="11"/>
      <c r="H25" s="13"/>
      <c r="I25" s="11"/>
      <c r="J25" s="11"/>
    </row>
    <row r="26" spans="1:14" x14ac:dyDescent="0.4">
      <c r="A26" s="9"/>
      <c r="B26" s="370" t="s">
        <v>19</v>
      </c>
      <c r="C26" s="371"/>
      <c r="D26" s="371"/>
      <c r="E26" s="372"/>
      <c r="F26" s="15"/>
    </row>
    <row r="27" spans="1:14" x14ac:dyDescent="0.4">
      <c r="A27" s="9"/>
      <c r="B27" s="17" t="s">
        <v>20</v>
      </c>
      <c r="C27" s="18" t="s">
        <v>262</v>
      </c>
      <c r="D27" s="18" t="s">
        <v>22</v>
      </c>
      <c r="E27" s="18" t="s">
        <v>23</v>
      </c>
      <c r="F27" s="15"/>
    </row>
    <row r="28" spans="1:14" ht="12.7" customHeight="1" x14ac:dyDescent="0.4">
      <c r="A28" s="9"/>
      <c r="B28" s="19" t="s">
        <v>1272</v>
      </c>
      <c r="C28" s="540" t="s">
        <v>1308</v>
      </c>
      <c r="D28" s="540" t="s">
        <v>1309</v>
      </c>
      <c r="E28" s="540" t="s">
        <v>1310</v>
      </c>
      <c r="F28" s="15"/>
    </row>
    <row r="29" spans="1:14" x14ac:dyDescent="0.4">
      <c r="A29" s="9"/>
      <c r="B29" s="19" t="s">
        <v>25</v>
      </c>
      <c r="C29" s="541"/>
      <c r="D29" s="541"/>
      <c r="E29" s="541"/>
      <c r="F29" s="15"/>
    </row>
    <row r="30" spans="1:14" x14ac:dyDescent="0.4">
      <c r="A30" s="9"/>
      <c r="B30" s="19" t="s">
        <v>26</v>
      </c>
      <c r="C30" s="541"/>
      <c r="D30" s="541"/>
      <c r="E30" s="541"/>
      <c r="F30" s="15"/>
    </row>
    <row r="31" spans="1:14" x14ac:dyDescent="0.4">
      <c r="A31" s="9"/>
      <c r="B31" s="19" t="s">
        <v>27</v>
      </c>
      <c r="C31" s="542"/>
      <c r="D31" s="542"/>
      <c r="E31" s="542"/>
      <c r="F31" s="15"/>
    </row>
    <row r="32" spans="1:14" x14ac:dyDescent="0.4">
      <c r="A32" s="9"/>
      <c r="B32" s="13"/>
      <c r="C32" s="15"/>
      <c r="D32" s="15"/>
      <c r="E32" s="15"/>
      <c r="F32" s="15"/>
    </row>
    <row r="33" spans="1:10" ht="30.7" customHeight="1" x14ac:dyDescent="0.4">
      <c r="A33" s="9">
        <v>7</v>
      </c>
      <c r="B33" s="365" t="s">
        <v>28</v>
      </c>
      <c r="C33" s="365"/>
      <c r="D33" s="365"/>
      <c r="E33" s="365"/>
      <c r="F33" s="11"/>
      <c r="G33" s="11"/>
      <c r="H33" s="11"/>
      <c r="I33" s="11"/>
      <c r="J33" s="11"/>
    </row>
    <row r="34" spans="1:10" x14ac:dyDescent="0.4">
      <c r="A34" s="9"/>
      <c r="B34" s="17" t="s">
        <v>29</v>
      </c>
      <c r="C34" s="446" t="s">
        <v>1294</v>
      </c>
      <c r="D34" s="446"/>
      <c r="E34" s="446"/>
      <c r="F34" s="13"/>
    </row>
    <row r="35" spans="1:10" x14ac:dyDescent="0.4">
      <c r="A35" s="9"/>
      <c r="B35" s="17" t="s">
        <v>31</v>
      </c>
      <c r="C35" s="446" t="s">
        <v>1303</v>
      </c>
      <c r="D35" s="446"/>
      <c r="E35" s="446"/>
      <c r="F35" s="13"/>
    </row>
    <row r="36" spans="1:10" x14ac:dyDescent="0.4">
      <c r="A36" s="9"/>
      <c r="B36" s="17" t="s">
        <v>32</v>
      </c>
      <c r="C36" s="446" t="s">
        <v>1304</v>
      </c>
      <c r="D36" s="446"/>
      <c r="E36" s="446"/>
      <c r="F36" s="13"/>
    </row>
    <row r="37" spans="1:10" x14ac:dyDescent="0.4">
      <c r="A37" s="9"/>
      <c r="C37" s="13"/>
      <c r="D37" s="13"/>
      <c r="E37" s="13"/>
      <c r="F37" s="13"/>
    </row>
    <row r="38" spans="1:10" x14ac:dyDescent="0.4">
      <c r="A38" s="9"/>
      <c r="B38" s="15"/>
      <c r="C38" s="13"/>
      <c r="D38" s="13"/>
      <c r="E38" s="13"/>
      <c r="F38" s="13"/>
    </row>
    <row r="39" spans="1:10" x14ac:dyDescent="0.4">
      <c r="A39" s="9">
        <v>8</v>
      </c>
      <c r="B39" s="365" t="s">
        <v>1084</v>
      </c>
      <c r="C39" s="365"/>
      <c r="D39" s="365"/>
      <c r="E39" s="365"/>
      <c r="F39" s="11"/>
      <c r="G39" s="11"/>
      <c r="H39" s="11"/>
      <c r="I39" s="11"/>
      <c r="J39" s="11"/>
    </row>
    <row r="40" spans="1:10" x14ac:dyDescent="0.4">
      <c r="A40" s="9"/>
      <c r="B40" s="17" t="s">
        <v>34</v>
      </c>
      <c r="C40" s="446" t="s">
        <v>1294</v>
      </c>
      <c r="D40" s="446"/>
      <c r="E40" s="446"/>
      <c r="F40" s="13"/>
    </row>
    <row r="41" spans="1:10" x14ac:dyDescent="0.4">
      <c r="A41" s="9"/>
      <c r="B41" s="17" t="s">
        <v>31</v>
      </c>
      <c r="C41" s="446" t="s">
        <v>1303</v>
      </c>
      <c r="D41" s="446"/>
      <c r="E41" s="446"/>
      <c r="F41" s="13"/>
    </row>
    <row r="42" spans="1:10" ht="12.7" customHeight="1" x14ac:dyDescent="0.4">
      <c r="A42" s="9"/>
      <c r="B42" s="17" t="s">
        <v>32</v>
      </c>
      <c r="C42" s="446" t="s">
        <v>1304</v>
      </c>
      <c r="D42" s="446"/>
      <c r="E42" s="446"/>
      <c r="F42" s="13"/>
    </row>
    <row r="43" spans="1:10" x14ac:dyDescent="0.4">
      <c r="A43" s="9"/>
      <c r="B43" s="363" t="s">
        <v>35</v>
      </c>
      <c r="C43" s="368"/>
      <c r="D43" s="368"/>
      <c r="E43" s="369"/>
      <c r="F43" s="13"/>
    </row>
    <row r="44" spans="1:10" x14ac:dyDescent="0.4">
      <c r="A44" s="2"/>
      <c r="D44" s="23"/>
      <c r="E44" s="13"/>
    </row>
    <row r="45" spans="1:10" x14ac:dyDescent="0.4">
      <c r="A45" s="24">
        <v>9</v>
      </c>
      <c r="B45" s="376" t="s">
        <v>1085</v>
      </c>
      <c r="C45" s="365"/>
      <c r="D45" s="365"/>
      <c r="E45" s="365"/>
      <c r="F45" s="25"/>
      <c r="G45" s="11"/>
      <c r="H45" s="11"/>
      <c r="I45" s="11"/>
    </row>
    <row r="46" spans="1:10" ht="51.25" x14ac:dyDescent="0.4">
      <c r="A46" s="24"/>
      <c r="B46" s="26" t="s">
        <v>37</v>
      </c>
      <c r="C46" s="27" t="s">
        <v>38</v>
      </c>
      <c r="D46" s="28" t="s">
        <v>39</v>
      </c>
      <c r="E46" s="27" t="s">
        <v>206</v>
      </c>
    </row>
    <row r="47" spans="1:10" ht="153.05000000000001" customHeight="1" x14ac:dyDescent="0.4">
      <c r="A47" s="29"/>
      <c r="B47" s="78" t="s">
        <v>1333</v>
      </c>
      <c r="C47" s="78" t="s">
        <v>1333</v>
      </c>
      <c r="D47" s="78" t="s">
        <v>1294</v>
      </c>
      <c r="E47" s="117" t="s">
        <v>83</v>
      </c>
    </row>
    <row r="48" spans="1:10" x14ac:dyDescent="0.4">
      <c r="A48" s="31"/>
      <c r="B48" s="380"/>
      <c r="C48" s="381"/>
      <c r="D48" s="381"/>
      <c r="E48" s="382"/>
      <c r="F48" s="15"/>
      <c r="G48" s="15"/>
      <c r="H48" s="15"/>
    </row>
    <row r="49" spans="1:14" x14ac:dyDescent="0.4">
      <c r="A49" s="32"/>
      <c r="B49" s="62"/>
      <c r="C49" s="23"/>
      <c r="D49" s="23"/>
      <c r="E49" s="23"/>
      <c r="F49" s="15"/>
      <c r="G49" s="15"/>
      <c r="H49" s="15"/>
      <c r="I49" s="15"/>
    </row>
    <row r="50" spans="1:14" x14ac:dyDescent="0.4">
      <c r="A50" s="24">
        <v>10</v>
      </c>
      <c r="B50" s="376" t="s">
        <v>1085</v>
      </c>
      <c r="C50" s="365"/>
      <c r="D50" s="365"/>
      <c r="E50" s="365"/>
      <c r="F50" s="15"/>
      <c r="G50" s="15"/>
      <c r="H50" s="15"/>
    </row>
    <row r="51" spans="1:14" x14ac:dyDescent="0.4">
      <c r="A51" s="29"/>
      <c r="B51" s="662" t="s">
        <v>43</v>
      </c>
      <c r="C51" s="385" t="s">
        <v>1333</v>
      </c>
      <c r="D51" s="386"/>
      <c r="E51" s="387"/>
      <c r="K51" s="1"/>
    </row>
    <row r="52" spans="1:14" ht="46.5" customHeight="1" x14ac:dyDescent="0.4">
      <c r="A52" s="29"/>
      <c r="B52" s="663"/>
      <c r="C52" s="388"/>
      <c r="D52" s="389"/>
      <c r="E52" s="390"/>
      <c r="K52" s="1"/>
    </row>
    <row r="53" spans="1:14" ht="60.75" customHeight="1" x14ac:dyDescent="0.4">
      <c r="A53" s="24"/>
      <c r="B53" s="33" t="s">
        <v>44</v>
      </c>
      <c r="C53" s="646" t="s">
        <v>83</v>
      </c>
      <c r="D53" s="646"/>
      <c r="E53" s="646"/>
    </row>
    <row r="54" spans="1:14" x14ac:dyDescent="0.4">
      <c r="A54" s="29"/>
      <c r="B54" s="33" t="s">
        <v>45</v>
      </c>
      <c r="C54" s="471" t="s">
        <v>46</v>
      </c>
      <c r="D54" s="472"/>
      <c r="E54" s="473"/>
      <c r="K54" s="34"/>
    </row>
    <row r="55" spans="1:14" s="63" customFormat="1" x14ac:dyDescent="0.35">
      <c r="A55" s="35" t="s">
        <v>47</v>
      </c>
      <c r="B55" s="392" t="s">
        <v>48</v>
      </c>
      <c r="C55" s="392"/>
      <c r="D55" s="392"/>
      <c r="E55" s="392"/>
    </row>
    <row r="56" spans="1:14" x14ac:dyDescent="0.4">
      <c r="A56" s="40"/>
      <c r="B56" s="41"/>
      <c r="C56" s="42"/>
      <c r="D56" s="42"/>
      <c r="E56" s="42"/>
      <c r="F56" s="42"/>
    </row>
    <row r="57" spans="1:14" x14ac:dyDescent="0.4">
      <c r="A57" s="9">
        <v>11</v>
      </c>
      <c r="B57" s="3" t="s">
        <v>49</v>
      </c>
      <c r="C57" s="393" t="s">
        <v>1037</v>
      </c>
      <c r="D57" s="393"/>
      <c r="E57" s="393"/>
      <c r="F57" s="11"/>
      <c r="G57" s="11"/>
      <c r="H57" s="43"/>
      <c r="I57" s="11"/>
      <c r="J57" s="11"/>
    </row>
    <row r="58" spans="1:14" x14ac:dyDescent="0.4">
      <c r="A58" s="9"/>
      <c r="B58" s="15"/>
      <c r="C58" s="15"/>
      <c r="D58" s="15"/>
      <c r="E58" s="15"/>
      <c r="F58" s="15"/>
      <c r="G58" s="15"/>
      <c r="H58" s="44"/>
      <c r="I58" s="44"/>
      <c r="J58" s="15"/>
    </row>
    <row r="59" spans="1:14" x14ac:dyDescent="0.4">
      <c r="A59" s="9">
        <v>12</v>
      </c>
      <c r="B59" s="11" t="s">
        <v>51</v>
      </c>
      <c r="C59" s="11"/>
      <c r="D59" s="11"/>
      <c r="E59" s="43"/>
      <c r="F59" s="43"/>
      <c r="G59" s="11"/>
      <c r="H59" s="11"/>
      <c r="I59" s="11"/>
      <c r="J59" s="11"/>
      <c r="K59" s="11"/>
      <c r="L59" s="11"/>
      <c r="M59" s="11"/>
      <c r="N59" s="11"/>
    </row>
    <row r="60" spans="1:14" x14ac:dyDescent="0.4">
      <c r="A60" s="9"/>
      <c r="B60" s="11"/>
      <c r="C60" s="11"/>
      <c r="D60" s="11"/>
      <c r="E60" s="43"/>
      <c r="F60" s="43"/>
      <c r="G60" s="43"/>
      <c r="H60" s="11"/>
      <c r="I60" s="11"/>
      <c r="J60" s="11"/>
      <c r="K60" s="11"/>
      <c r="L60" s="11"/>
      <c r="M60" s="11"/>
      <c r="N60" s="11"/>
    </row>
    <row r="61" spans="1:14" x14ac:dyDescent="0.4">
      <c r="A61" s="9"/>
      <c r="B61" s="17" t="s">
        <v>52</v>
      </c>
      <c r="C61" s="446" t="s">
        <v>1345</v>
      </c>
      <c r="D61" s="446"/>
      <c r="E61" s="446"/>
      <c r="F61" s="44"/>
      <c r="G61" s="44"/>
      <c r="H61" s="15"/>
      <c r="I61" s="15"/>
      <c r="J61" s="15"/>
      <c r="K61" s="15"/>
      <c r="L61" s="15"/>
      <c r="M61" s="15"/>
      <c r="N61" s="15"/>
    </row>
    <row r="62" spans="1:14" x14ac:dyDescent="0.4">
      <c r="A62" s="9"/>
      <c r="B62" s="15"/>
      <c r="C62" s="15"/>
      <c r="D62" s="15"/>
      <c r="E62" s="15"/>
      <c r="F62" s="15"/>
      <c r="G62" s="44"/>
      <c r="H62" s="15"/>
      <c r="I62" s="15"/>
      <c r="J62" s="15"/>
      <c r="K62" s="15"/>
      <c r="L62" s="15"/>
      <c r="M62" s="15"/>
      <c r="N62" s="15"/>
    </row>
    <row r="63" spans="1:14" ht="30.05" customHeight="1" x14ac:dyDescent="0.4">
      <c r="A63" s="9"/>
      <c r="B63" s="365" t="s">
        <v>53</v>
      </c>
      <c r="C63" s="366" t="s">
        <v>1335</v>
      </c>
      <c r="D63" s="366" t="s">
        <v>1630</v>
      </c>
      <c r="E63" s="403" t="s">
        <v>1336</v>
      </c>
      <c r="F63" s="395" t="s">
        <v>626</v>
      </c>
      <c r="G63" s="396"/>
      <c r="H63" s="397"/>
      <c r="I63" s="398" t="s">
        <v>55</v>
      </c>
      <c r="J63" s="398"/>
      <c r="K63" s="398"/>
      <c r="L63" s="398" t="s">
        <v>56</v>
      </c>
      <c r="M63" s="398"/>
      <c r="N63" s="398"/>
    </row>
    <row r="64" spans="1:14" ht="38.450000000000003" x14ac:dyDescent="0.4">
      <c r="A64" s="2"/>
      <c r="B64" s="365"/>
      <c r="C64" s="402"/>
      <c r="D64" s="402"/>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213.75</v>
      </c>
      <c r="D65" s="101">
        <v>180.2</v>
      </c>
      <c r="E65" s="101" t="s">
        <v>41</v>
      </c>
      <c r="F65" s="101" t="s">
        <v>41</v>
      </c>
      <c r="G65" s="101" t="s">
        <v>41</v>
      </c>
      <c r="H65" s="101" t="s">
        <v>41</v>
      </c>
      <c r="I65" s="101" t="s">
        <v>41</v>
      </c>
      <c r="J65" s="101" t="s">
        <v>41</v>
      </c>
      <c r="K65" s="101" t="s">
        <v>41</v>
      </c>
      <c r="L65" s="101" t="s">
        <v>41</v>
      </c>
      <c r="M65" s="101" t="s">
        <v>41</v>
      </c>
      <c r="N65" s="101" t="s">
        <v>41</v>
      </c>
    </row>
    <row r="66" spans="1:14" ht="25.65" x14ac:dyDescent="0.4">
      <c r="A66" s="2"/>
      <c r="B66" s="17" t="s">
        <v>918</v>
      </c>
      <c r="C66" s="101">
        <v>19230.599999999999</v>
      </c>
      <c r="D66" s="101">
        <v>20686.8</v>
      </c>
      <c r="E66" s="101" t="s">
        <v>41</v>
      </c>
      <c r="F66" s="101" t="s">
        <v>41</v>
      </c>
      <c r="G66" s="101" t="s">
        <v>41</v>
      </c>
      <c r="H66" s="101" t="s">
        <v>41</v>
      </c>
      <c r="I66" s="101" t="s">
        <v>41</v>
      </c>
      <c r="J66" s="101" t="s">
        <v>41</v>
      </c>
      <c r="K66" s="101" t="s">
        <v>41</v>
      </c>
      <c r="L66" s="101" t="s">
        <v>41</v>
      </c>
      <c r="M66" s="101" t="s">
        <v>41</v>
      </c>
      <c r="N66" s="101" t="s">
        <v>41</v>
      </c>
    </row>
    <row r="67" spans="1:14" x14ac:dyDescent="0.4">
      <c r="A67" s="2"/>
      <c r="B67" s="17" t="s">
        <v>1087</v>
      </c>
      <c r="C67" s="546" t="s">
        <v>83</v>
      </c>
      <c r="D67" s="546"/>
      <c r="E67" s="546"/>
      <c r="F67" s="546"/>
      <c r="G67" s="546"/>
      <c r="H67" s="546"/>
      <c r="I67" s="546"/>
      <c r="J67" s="546"/>
      <c r="K67" s="546"/>
      <c r="L67" s="546"/>
      <c r="M67" s="546"/>
      <c r="N67" s="546"/>
    </row>
    <row r="68" spans="1:14" x14ac:dyDescent="0.4">
      <c r="A68" s="2"/>
      <c r="B68" s="551" t="s">
        <v>1092</v>
      </c>
      <c r="C68" s="545"/>
      <c r="D68" s="545"/>
      <c r="E68" s="545"/>
      <c r="F68" s="545"/>
      <c r="G68" s="545"/>
      <c r="H68" s="545"/>
      <c r="I68" s="545"/>
      <c r="J68" s="545"/>
      <c r="K68" s="545"/>
      <c r="L68" s="545"/>
      <c r="M68" s="545"/>
      <c r="N68" s="545"/>
    </row>
    <row r="69" spans="1:14" x14ac:dyDescent="0.4">
      <c r="A69" s="2"/>
      <c r="B69" s="480" t="s">
        <v>63</v>
      </c>
      <c r="C69" s="480"/>
      <c r="D69" s="480"/>
      <c r="E69" s="480"/>
      <c r="F69" s="480"/>
      <c r="G69" s="480"/>
      <c r="H69" s="480"/>
      <c r="I69" s="480"/>
      <c r="J69" s="480"/>
      <c r="K69" s="480"/>
      <c r="L69" s="480"/>
      <c r="M69" s="480"/>
      <c r="N69" s="480"/>
    </row>
    <row r="70" spans="1:14" s="1" customFormat="1" x14ac:dyDescent="0.4">
      <c r="B70" s="474" t="s">
        <v>64</v>
      </c>
      <c r="C70" s="474"/>
      <c r="D70" s="474"/>
      <c r="E70" s="474"/>
      <c r="F70" s="474"/>
      <c r="G70" s="474"/>
      <c r="H70" s="474"/>
      <c r="I70" s="474"/>
      <c r="J70" s="474"/>
      <c r="K70" s="474"/>
      <c r="L70" s="474"/>
      <c r="M70" s="474"/>
      <c r="N70" s="474"/>
    </row>
    <row r="71" spans="1:14" x14ac:dyDescent="0.4">
      <c r="A71" s="2"/>
      <c r="B71" s="359" t="s">
        <v>358</v>
      </c>
      <c r="C71" s="359"/>
      <c r="D71" s="359"/>
      <c r="E71" s="359"/>
      <c r="F71" s="359"/>
      <c r="G71" s="359"/>
      <c r="H71" s="359"/>
      <c r="I71" s="359"/>
      <c r="J71" s="359"/>
      <c r="K71" s="359"/>
      <c r="L71" s="359"/>
      <c r="M71" s="359"/>
      <c r="N71" s="359"/>
    </row>
    <row r="72" spans="1:14" x14ac:dyDescent="0.4">
      <c r="A72" s="2"/>
      <c r="B72" s="359" t="s">
        <v>65</v>
      </c>
      <c r="C72" s="359"/>
      <c r="D72" s="359"/>
      <c r="E72" s="359"/>
      <c r="F72" s="359"/>
      <c r="G72" s="359"/>
      <c r="H72" s="359"/>
      <c r="I72" s="359"/>
      <c r="J72" s="359"/>
      <c r="K72" s="359"/>
      <c r="L72" s="359"/>
      <c r="M72" s="359"/>
      <c r="N72" s="359"/>
    </row>
    <row r="73" spans="1:14" x14ac:dyDescent="0.4">
      <c r="A73" s="2"/>
      <c r="B73" s="49"/>
      <c r="C73" s="49"/>
      <c r="D73" s="49"/>
      <c r="E73" s="49"/>
      <c r="F73" s="49"/>
      <c r="G73" s="13"/>
      <c r="H73" s="13"/>
      <c r="I73" s="13"/>
      <c r="J73" s="13"/>
      <c r="K73" s="13"/>
      <c r="L73" s="13"/>
      <c r="M73" s="13"/>
      <c r="N73" s="13"/>
    </row>
    <row r="74" spans="1:14" ht="29.3" customHeight="1" x14ac:dyDescent="0.4">
      <c r="A74" s="9">
        <v>13</v>
      </c>
      <c r="B74" s="405" t="s">
        <v>66</v>
      </c>
      <c r="C74" s="406"/>
      <c r="D74" s="406"/>
      <c r="E74" s="406"/>
      <c r="F74" s="406"/>
      <c r="G74" s="376"/>
      <c r="H74" s="11"/>
      <c r="I74" s="11"/>
      <c r="J74" s="11"/>
      <c r="K74" s="11"/>
      <c r="L74" s="11"/>
      <c r="M74" s="11"/>
      <c r="N74" s="11"/>
    </row>
    <row r="75" spans="1:14" x14ac:dyDescent="0.4">
      <c r="A75" s="9"/>
      <c r="C75" s="15"/>
      <c r="D75" s="15"/>
      <c r="E75" s="15"/>
      <c r="F75" s="15"/>
      <c r="G75" s="15"/>
      <c r="H75" s="15"/>
      <c r="I75" s="15"/>
      <c r="J75" s="15"/>
      <c r="K75" s="15"/>
      <c r="L75" s="15"/>
      <c r="M75" s="15"/>
      <c r="N75" s="15"/>
    </row>
    <row r="76" spans="1:14" ht="25.65" x14ac:dyDescent="0.4">
      <c r="A76" s="2"/>
      <c r="B76" s="50" t="s">
        <v>67</v>
      </c>
      <c r="C76" s="18" t="s">
        <v>68</v>
      </c>
      <c r="D76" s="18" t="s">
        <v>1127</v>
      </c>
      <c r="E76" s="18" t="s">
        <v>218</v>
      </c>
      <c r="F76" s="18" t="s">
        <v>71</v>
      </c>
      <c r="G76" s="18" t="s">
        <v>107</v>
      </c>
      <c r="H76" s="13"/>
      <c r="I76" s="13"/>
      <c r="J76" s="13"/>
      <c r="K76" s="13"/>
      <c r="L76" s="13"/>
      <c r="M76" s="13"/>
      <c r="N76" s="13"/>
    </row>
    <row r="77" spans="1:14" ht="25.55" customHeight="1" x14ac:dyDescent="0.4">
      <c r="A77" s="2"/>
      <c r="B77" s="394" t="s">
        <v>1271</v>
      </c>
      <c r="C77" s="21" t="s">
        <v>1337</v>
      </c>
      <c r="D77" s="151">
        <v>6.87</v>
      </c>
      <c r="E77" s="435" t="s">
        <v>1338</v>
      </c>
      <c r="F77" s="435" t="s">
        <v>326</v>
      </c>
      <c r="G77" s="435" t="s">
        <v>220</v>
      </c>
      <c r="H77" s="53"/>
      <c r="I77" s="53"/>
      <c r="J77" s="53"/>
      <c r="K77" s="53"/>
      <c r="L77" s="53"/>
      <c r="M77" s="53"/>
      <c r="N77" s="53"/>
    </row>
    <row r="78" spans="1:14" x14ac:dyDescent="0.4">
      <c r="A78" s="2"/>
      <c r="B78" s="394"/>
      <c r="C78" s="3" t="s">
        <v>765</v>
      </c>
      <c r="D78" s="151"/>
      <c r="E78" s="436"/>
      <c r="F78" s="436"/>
      <c r="G78" s="436"/>
      <c r="H78" s="53"/>
      <c r="I78" s="53"/>
      <c r="J78" s="53"/>
      <c r="K78" s="53"/>
      <c r="L78" s="53"/>
      <c r="M78" s="53"/>
      <c r="N78" s="53"/>
    </row>
    <row r="79" spans="1:14" x14ac:dyDescent="0.4">
      <c r="A79" s="2"/>
      <c r="B79" s="394"/>
      <c r="C79" s="21" t="s">
        <v>1341</v>
      </c>
      <c r="D79" s="151">
        <v>10.47</v>
      </c>
      <c r="E79" s="436"/>
      <c r="F79" s="436"/>
      <c r="G79" s="436"/>
      <c r="H79" s="53"/>
      <c r="I79" s="53"/>
      <c r="J79" s="53"/>
      <c r="K79" s="53"/>
      <c r="L79" s="53"/>
      <c r="M79" s="53"/>
      <c r="N79" s="53"/>
    </row>
    <row r="80" spans="1:14" x14ac:dyDescent="0.4">
      <c r="A80" s="2"/>
      <c r="B80" s="394"/>
      <c r="C80" s="21" t="s">
        <v>1342</v>
      </c>
      <c r="D80" s="151">
        <v>20.91</v>
      </c>
      <c r="E80" s="436"/>
      <c r="F80" s="436"/>
      <c r="G80" s="436"/>
      <c r="H80" s="53"/>
      <c r="I80" s="53"/>
      <c r="J80" s="53"/>
      <c r="K80" s="53"/>
      <c r="L80" s="53"/>
      <c r="M80" s="53"/>
      <c r="N80" s="53"/>
    </row>
    <row r="81" spans="1:14" x14ac:dyDescent="0.4">
      <c r="A81" s="2"/>
      <c r="B81" s="394"/>
      <c r="C81" s="21" t="s">
        <v>1343</v>
      </c>
      <c r="D81" s="151">
        <v>3.03</v>
      </c>
      <c r="E81" s="436"/>
      <c r="F81" s="436"/>
      <c r="G81" s="436"/>
      <c r="H81" s="53"/>
      <c r="I81" s="53"/>
      <c r="J81" s="53"/>
      <c r="K81" s="53"/>
      <c r="L81" s="53"/>
      <c r="M81" s="53"/>
      <c r="N81" s="53"/>
    </row>
    <row r="82" spans="1:14" x14ac:dyDescent="0.4">
      <c r="A82" s="2"/>
      <c r="B82" s="394"/>
      <c r="C82" s="21" t="s">
        <v>1344</v>
      </c>
      <c r="D82" s="151">
        <v>62.47</v>
      </c>
      <c r="E82" s="436"/>
      <c r="F82" s="436"/>
      <c r="G82" s="436"/>
      <c r="H82" s="53"/>
      <c r="I82" s="53"/>
      <c r="J82" s="53"/>
      <c r="K82" s="53"/>
      <c r="L82" s="53"/>
      <c r="M82" s="53"/>
      <c r="N82" s="53"/>
    </row>
    <row r="83" spans="1:14" x14ac:dyDescent="0.4">
      <c r="A83" s="2"/>
      <c r="B83" s="394"/>
      <c r="C83" s="3" t="s">
        <v>74</v>
      </c>
      <c r="D83" s="276">
        <f>SUM(D79:D82)/4</f>
        <v>24.22</v>
      </c>
      <c r="E83" s="436"/>
      <c r="F83" s="436"/>
      <c r="G83" s="436"/>
      <c r="H83" s="53"/>
      <c r="I83" s="53"/>
      <c r="J83" s="53"/>
      <c r="K83" s="53"/>
      <c r="L83" s="53"/>
      <c r="M83" s="53"/>
      <c r="N83" s="53"/>
    </row>
    <row r="84" spans="1:14" ht="26.5" x14ac:dyDescent="0.4">
      <c r="A84" s="2"/>
      <c r="B84" s="394" t="s">
        <v>75</v>
      </c>
      <c r="C84" s="21" t="s">
        <v>1337</v>
      </c>
      <c r="D84" s="154">
        <v>14.56</v>
      </c>
      <c r="E84" s="436"/>
      <c r="F84" s="436"/>
      <c r="G84" s="436"/>
      <c r="H84" s="53"/>
      <c r="I84" s="53"/>
      <c r="J84" s="53"/>
      <c r="K84" s="53"/>
      <c r="L84" s="53"/>
      <c r="M84" s="53"/>
      <c r="N84" s="53"/>
    </row>
    <row r="85" spans="1:14" x14ac:dyDescent="0.4">
      <c r="A85" s="2"/>
      <c r="B85" s="394"/>
      <c r="C85" s="3" t="s">
        <v>73</v>
      </c>
      <c r="D85" s="151"/>
      <c r="E85" s="436"/>
      <c r="F85" s="436"/>
      <c r="G85" s="436"/>
      <c r="H85" s="53"/>
      <c r="I85" s="53"/>
      <c r="J85" s="53"/>
      <c r="K85" s="53"/>
      <c r="L85" s="53"/>
      <c r="M85" s="53"/>
      <c r="N85" s="53"/>
    </row>
    <row r="86" spans="1:14" x14ac:dyDescent="0.4">
      <c r="A86" s="2"/>
      <c r="B86" s="394"/>
      <c r="C86" s="21" t="s">
        <v>1341</v>
      </c>
      <c r="D86" s="151">
        <v>100.04</v>
      </c>
      <c r="E86" s="436"/>
      <c r="F86" s="436"/>
      <c r="G86" s="436"/>
      <c r="H86" s="53"/>
      <c r="I86" s="53"/>
      <c r="J86" s="53"/>
      <c r="K86" s="53"/>
      <c r="L86" s="53"/>
      <c r="M86" s="53"/>
      <c r="N86" s="53"/>
    </row>
    <row r="87" spans="1:14" x14ac:dyDescent="0.4">
      <c r="A87" s="2"/>
      <c r="B87" s="394"/>
      <c r="C87" s="21" t="s">
        <v>1342</v>
      </c>
      <c r="D87" s="151">
        <v>48.41</v>
      </c>
      <c r="E87" s="436"/>
      <c r="F87" s="436"/>
      <c r="G87" s="436"/>
      <c r="H87" s="53"/>
      <c r="I87" s="53"/>
      <c r="J87" s="53"/>
      <c r="K87" s="53"/>
      <c r="L87" s="53"/>
      <c r="M87" s="53"/>
      <c r="N87" s="53"/>
    </row>
    <row r="88" spans="1:14" x14ac:dyDescent="0.4">
      <c r="A88" s="2"/>
      <c r="B88" s="394"/>
      <c r="C88" s="21" t="s">
        <v>1343</v>
      </c>
      <c r="D88" s="151">
        <v>24.16</v>
      </c>
      <c r="E88" s="436"/>
      <c r="F88" s="436"/>
      <c r="G88" s="436"/>
      <c r="H88" s="53"/>
      <c r="I88" s="53"/>
      <c r="J88" s="53"/>
      <c r="K88" s="53"/>
      <c r="L88" s="53"/>
      <c r="M88" s="53"/>
      <c r="N88" s="53"/>
    </row>
    <row r="89" spans="1:14" x14ac:dyDescent="0.4">
      <c r="A89" s="2"/>
      <c r="B89" s="394"/>
      <c r="C89" s="21" t="s">
        <v>1344</v>
      </c>
      <c r="D89" s="151">
        <v>31.94</v>
      </c>
      <c r="E89" s="436"/>
      <c r="F89" s="436"/>
      <c r="G89" s="436"/>
      <c r="H89" s="53"/>
      <c r="I89" s="53"/>
      <c r="J89" s="53"/>
      <c r="K89" s="53"/>
      <c r="L89" s="53"/>
      <c r="M89" s="53"/>
      <c r="N89" s="53"/>
    </row>
    <row r="90" spans="1:14" x14ac:dyDescent="0.4">
      <c r="A90" s="2"/>
      <c r="B90" s="394"/>
      <c r="C90" s="3" t="s">
        <v>74</v>
      </c>
      <c r="D90" s="276">
        <f>SUM(D86:D89)/4</f>
        <v>51.137499999999996</v>
      </c>
      <c r="E90" s="436"/>
      <c r="F90" s="436"/>
      <c r="G90" s="436"/>
      <c r="H90" s="53"/>
      <c r="I90" s="53"/>
      <c r="J90" s="53"/>
      <c r="K90" s="53"/>
      <c r="L90" s="53"/>
      <c r="M90" s="53"/>
      <c r="N90" s="53"/>
    </row>
    <row r="91" spans="1:14" ht="26.5" x14ac:dyDescent="0.4">
      <c r="A91" s="2"/>
      <c r="B91" s="394" t="s">
        <v>76</v>
      </c>
      <c r="C91" s="21" t="s">
        <v>1337</v>
      </c>
      <c r="D91" s="277">
        <v>0.44290000000000002</v>
      </c>
      <c r="E91" s="436"/>
      <c r="F91" s="436"/>
      <c r="G91" s="436"/>
      <c r="H91" s="53"/>
      <c r="I91" s="53"/>
      <c r="J91" s="53"/>
      <c r="K91" s="53"/>
      <c r="L91" s="53"/>
      <c r="M91" s="53"/>
      <c r="N91" s="53"/>
    </row>
    <row r="92" spans="1:14" x14ac:dyDescent="0.4">
      <c r="A92" s="2"/>
      <c r="B92" s="394"/>
      <c r="C92" s="3" t="s">
        <v>73</v>
      </c>
      <c r="D92" s="151"/>
      <c r="E92" s="436"/>
      <c r="F92" s="436"/>
      <c r="G92" s="436"/>
      <c r="H92" s="53"/>
      <c r="I92" s="53"/>
      <c r="J92" s="53"/>
      <c r="K92" s="53"/>
      <c r="L92" s="53"/>
      <c r="M92" s="53"/>
      <c r="N92" s="53"/>
    </row>
    <row r="93" spans="1:14" x14ac:dyDescent="0.4">
      <c r="A93" s="2"/>
      <c r="B93" s="394"/>
      <c r="C93" s="21" t="s">
        <v>1341</v>
      </c>
      <c r="D93" s="332">
        <v>0.1048</v>
      </c>
      <c r="E93" s="436"/>
      <c r="F93" s="436"/>
      <c r="G93" s="436"/>
      <c r="H93" s="53"/>
      <c r="I93" s="53"/>
      <c r="J93" s="53"/>
      <c r="K93" s="53"/>
      <c r="L93" s="53"/>
      <c r="M93" s="53"/>
      <c r="N93" s="53"/>
    </row>
    <row r="94" spans="1:14" x14ac:dyDescent="0.4">
      <c r="A94" s="2"/>
      <c r="B94" s="394"/>
      <c r="C94" s="21" t="s">
        <v>1342</v>
      </c>
      <c r="D94" s="332">
        <v>9.1399999999999995E-2</v>
      </c>
      <c r="E94" s="436"/>
      <c r="F94" s="436"/>
      <c r="G94" s="436"/>
      <c r="H94" s="53"/>
      <c r="I94" s="53"/>
      <c r="J94" s="53"/>
      <c r="K94" s="53"/>
      <c r="L94" s="53"/>
      <c r="M94" s="53"/>
      <c r="N94" s="53"/>
    </row>
    <row r="95" spans="1:14" x14ac:dyDescent="0.4">
      <c r="A95" s="2"/>
      <c r="B95" s="394"/>
      <c r="C95" s="21" t="s">
        <v>1343</v>
      </c>
      <c r="D95" s="332">
        <v>3.5299999999999998E-2</v>
      </c>
      <c r="E95" s="436"/>
      <c r="F95" s="436"/>
      <c r="G95" s="436"/>
      <c r="H95" s="53"/>
      <c r="I95" s="53"/>
      <c r="J95" s="53"/>
      <c r="K95" s="53"/>
      <c r="L95" s="53"/>
      <c r="M95" s="53"/>
      <c r="N95" s="53"/>
    </row>
    <row r="96" spans="1:14" x14ac:dyDescent="0.4">
      <c r="A96" s="2"/>
      <c r="B96" s="394"/>
      <c r="C96" s="21" t="s">
        <v>1344</v>
      </c>
      <c r="D96" s="332">
        <v>0.20830000000000001</v>
      </c>
      <c r="E96" s="436"/>
      <c r="F96" s="436"/>
      <c r="G96" s="436"/>
      <c r="H96" s="53"/>
      <c r="I96" s="53"/>
      <c r="J96" s="53"/>
      <c r="K96" s="53"/>
      <c r="L96" s="53"/>
      <c r="M96" s="53"/>
      <c r="N96" s="53"/>
    </row>
    <row r="97" spans="1:14" x14ac:dyDescent="0.4">
      <c r="A97" s="2"/>
      <c r="B97" s="394"/>
      <c r="C97" s="3" t="s">
        <v>74</v>
      </c>
      <c r="D97" s="331">
        <f>SUM(D93:D96)/4</f>
        <v>0.10994999999999999</v>
      </c>
      <c r="E97" s="436"/>
      <c r="F97" s="436"/>
      <c r="G97" s="436"/>
      <c r="H97" s="53"/>
      <c r="I97" s="53"/>
      <c r="J97" s="53"/>
      <c r="K97" s="53"/>
      <c r="L97" s="53"/>
      <c r="M97" s="53"/>
      <c r="N97" s="53"/>
    </row>
    <row r="98" spans="1:14" ht="26.5" x14ac:dyDescent="0.4">
      <c r="A98" s="2"/>
      <c r="B98" s="394" t="s">
        <v>77</v>
      </c>
      <c r="C98" s="21" t="s">
        <v>1337</v>
      </c>
      <c r="D98" s="152">
        <v>15.51</v>
      </c>
      <c r="E98" s="436"/>
      <c r="F98" s="436"/>
      <c r="G98" s="436"/>
      <c r="H98" s="53"/>
      <c r="I98" s="53"/>
      <c r="J98" s="53"/>
      <c r="K98" s="53"/>
      <c r="L98" s="53"/>
      <c r="M98" s="53"/>
      <c r="N98" s="53"/>
    </row>
    <row r="99" spans="1:14" x14ac:dyDescent="0.4">
      <c r="A99" s="2"/>
      <c r="B99" s="394"/>
      <c r="C99" s="3" t="s">
        <v>73</v>
      </c>
      <c r="D99" s="151"/>
      <c r="E99" s="436"/>
      <c r="F99" s="436"/>
      <c r="G99" s="436"/>
      <c r="H99" s="53"/>
      <c r="I99" s="53"/>
      <c r="J99" s="53"/>
      <c r="K99" s="53"/>
      <c r="L99" s="53"/>
      <c r="M99" s="53"/>
      <c r="N99" s="53"/>
    </row>
    <row r="100" spans="1:14" x14ac:dyDescent="0.4">
      <c r="A100" s="2"/>
      <c r="B100" s="411"/>
      <c r="C100" s="21" t="s">
        <v>1341</v>
      </c>
      <c r="D100" s="151">
        <v>99.96</v>
      </c>
      <c r="E100" s="436"/>
      <c r="F100" s="436"/>
      <c r="G100" s="436"/>
      <c r="H100" s="53"/>
      <c r="I100" s="53"/>
      <c r="J100" s="53"/>
      <c r="K100" s="53"/>
      <c r="L100" s="53"/>
      <c r="M100" s="53"/>
      <c r="N100" s="53"/>
    </row>
    <row r="101" spans="1:14" x14ac:dyDescent="0.4">
      <c r="A101" s="2"/>
      <c r="B101" s="411"/>
      <c r="C101" s="21" t="s">
        <v>1342</v>
      </c>
      <c r="D101" s="151">
        <v>220.63</v>
      </c>
      <c r="E101" s="436"/>
      <c r="F101" s="436"/>
      <c r="G101" s="436"/>
      <c r="H101" s="53"/>
      <c r="I101" s="53"/>
      <c r="J101" s="53"/>
      <c r="K101" s="53"/>
      <c r="L101" s="53"/>
      <c r="M101" s="53"/>
      <c r="N101" s="53"/>
    </row>
    <row r="102" spans="1:14" x14ac:dyDescent="0.4">
      <c r="A102" s="2"/>
      <c r="B102" s="411"/>
      <c r="C102" s="21" t="s">
        <v>1343</v>
      </c>
      <c r="D102" s="151">
        <v>85.79</v>
      </c>
      <c r="E102" s="436"/>
      <c r="F102" s="436"/>
      <c r="G102" s="436"/>
      <c r="H102" s="53"/>
      <c r="I102" s="53"/>
      <c r="J102" s="53"/>
      <c r="K102" s="53"/>
      <c r="L102" s="53"/>
      <c r="M102" s="53"/>
      <c r="N102" s="53"/>
    </row>
    <row r="103" spans="1:14" x14ac:dyDescent="0.4">
      <c r="A103" s="2"/>
      <c r="B103" s="411"/>
      <c r="C103" s="21" t="s">
        <v>1344</v>
      </c>
      <c r="D103" s="151">
        <v>299.87</v>
      </c>
      <c r="E103" s="436"/>
      <c r="F103" s="436"/>
      <c r="G103" s="436"/>
      <c r="H103" s="53"/>
      <c r="I103" s="53"/>
      <c r="J103" s="53"/>
      <c r="K103" s="53"/>
      <c r="L103" s="53"/>
      <c r="M103" s="53"/>
      <c r="N103" s="53"/>
    </row>
    <row r="104" spans="1:14" x14ac:dyDescent="0.4">
      <c r="A104" s="2"/>
      <c r="B104" s="411"/>
      <c r="C104" s="3" t="s">
        <v>74</v>
      </c>
      <c r="D104" s="331">
        <f>SUM(D100:D103)/4</f>
        <v>176.5625</v>
      </c>
      <c r="E104" s="436"/>
      <c r="F104" s="436"/>
      <c r="G104" s="436"/>
      <c r="H104" s="53"/>
      <c r="I104" s="53"/>
      <c r="J104" s="53"/>
      <c r="K104" s="53"/>
      <c r="L104" s="53"/>
      <c r="M104" s="53"/>
      <c r="N104" s="53"/>
    </row>
    <row r="105" spans="1:14" s="1" customFormat="1" x14ac:dyDescent="0.4">
      <c r="B105" s="412"/>
      <c r="C105" s="413"/>
      <c r="D105" s="413"/>
      <c r="E105" s="413"/>
      <c r="F105" s="413"/>
      <c r="G105" s="414"/>
    </row>
    <row r="106" spans="1:14" x14ac:dyDescent="0.4">
      <c r="A106" s="2"/>
      <c r="B106" s="415" t="s">
        <v>1340</v>
      </c>
      <c r="C106" s="416"/>
      <c r="D106" s="416"/>
      <c r="E106" s="416"/>
      <c r="F106" s="416"/>
      <c r="G106" s="417"/>
      <c r="H106" s="53"/>
      <c r="I106" s="53"/>
      <c r="J106" s="53"/>
      <c r="K106" s="53"/>
      <c r="L106" s="53"/>
      <c r="M106" s="53"/>
      <c r="N106" s="53"/>
    </row>
    <row r="107" spans="1:14" x14ac:dyDescent="0.4">
      <c r="A107" s="2"/>
      <c r="B107" s="418" t="s">
        <v>85</v>
      </c>
      <c r="C107" s="419"/>
      <c r="D107" s="419"/>
      <c r="E107" s="419"/>
      <c r="F107" s="419"/>
      <c r="G107" s="420"/>
      <c r="H107" s="53"/>
      <c r="I107" s="53"/>
      <c r="J107" s="53"/>
      <c r="K107" s="53"/>
      <c r="L107" s="53"/>
      <c r="M107" s="53"/>
      <c r="N107" s="53"/>
    </row>
    <row r="108" spans="1:14" x14ac:dyDescent="0.4">
      <c r="A108" s="2"/>
      <c r="B108" s="363"/>
      <c r="C108" s="368"/>
      <c r="D108" s="368"/>
      <c r="E108" s="368"/>
      <c r="F108" s="368"/>
      <c r="G108" s="369"/>
      <c r="H108" s="53"/>
      <c r="I108" s="53"/>
      <c r="J108" s="53"/>
      <c r="K108" s="53"/>
      <c r="L108" s="53"/>
      <c r="M108" s="53"/>
      <c r="N108" s="53"/>
    </row>
    <row r="109" spans="1:14" x14ac:dyDescent="0.4">
      <c r="C109" s="407"/>
      <c r="D109" s="407"/>
      <c r="E109" s="407"/>
      <c r="F109" s="407"/>
      <c r="G109" s="407"/>
      <c r="H109" s="53"/>
      <c r="I109" s="53"/>
    </row>
    <row r="110" spans="1:14" x14ac:dyDescent="0.4">
      <c r="A110" s="9">
        <v>14</v>
      </c>
      <c r="B110" s="61" t="s">
        <v>78</v>
      </c>
      <c r="C110" s="458" t="s">
        <v>41</v>
      </c>
      <c r="D110" s="458"/>
      <c r="E110" s="458"/>
      <c r="F110" s="458"/>
      <c r="G110" s="458"/>
    </row>
    <row r="111" spans="1:14" x14ac:dyDescent="0.4">
      <c r="A111" s="23"/>
      <c r="B111" s="448"/>
      <c r="C111" s="449"/>
      <c r="D111" s="449"/>
      <c r="E111" s="449"/>
      <c r="F111" s="449"/>
      <c r="G111" s="450"/>
    </row>
    <row r="114" spans="2:8" ht="12.7" customHeight="1" x14ac:dyDescent="0.4">
      <c r="B114" s="548" t="s">
        <v>1334</v>
      </c>
      <c r="C114" s="549"/>
      <c r="D114" s="549"/>
      <c r="E114" s="549"/>
      <c r="F114" s="549"/>
      <c r="G114" s="549"/>
      <c r="H114" s="295"/>
    </row>
    <row r="116" spans="2:8" ht="25.55" customHeight="1" x14ac:dyDescent="0.4">
      <c r="B116" s="539"/>
      <c r="C116" s="539"/>
      <c r="D116" s="539"/>
      <c r="E116" s="539"/>
      <c r="F116" s="539"/>
      <c r="G116" s="539"/>
    </row>
    <row r="118" spans="2:8" x14ac:dyDescent="0.4">
      <c r="C118" s="230"/>
      <c r="D118" s="230"/>
    </row>
    <row r="119" spans="2:8" x14ac:dyDescent="0.4">
      <c r="D119" s="107"/>
      <c r="E119" s="107"/>
    </row>
    <row r="120" spans="2:8" x14ac:dyDescent="0.4">
      <c r="C120" s="230"/>
      <c r="D120" s="230"/>
      <c r="E120" s="107"/>
    </row>
  </sheetData>
  <sheetProtection algorithmName="SHA-512" hashValue="Ra6A1RYkKzqGpuIdlbVi6U31kbn0JHFkAJyXX3YEeQT5JWBz+ZczGV4+QLtN8NsOT1kpBD7BqnC9YYtq26bs3g==" saltValue="6fcQNA6xrWPwHYPxuHDa7A==" spinCount="100000" sheet="1" objects="1" scenarios="1"/>
  <mergeCells count="70">
    <mergeCell ref="B111:G111"/>
    <mergeCell ref="B114:G114"/>
    <mergeCell ref="B116:G116"/>
    <mergeCell ref="C28:C31"/>
    <mergeCell ref="D28:D31"/>
    <mergeCell ref="E77:E104"/>
    <mergeCell ref="F77:F104"/>
    <mergeCell ref="B105:G105"/>
    <mergeCell ref="B106:G106"/>
    <mergeCell ref="B107:G107"/>
    <mergeCell ref="B108:G108"/>
    <mergeCell ref="C109:G109"/>
    <mergeCell ref="C110:G110"/>
    <mergeCell ref="B70:N70"/>
    <mergeCell ref="B71:N71"/>
    <mergeCell ref="B72:N72"/>
    <mergeCell ref="B74:G74"/>
    <mergeCell ref="B77:B83"/>
    <mergeCell ref="G77:G104"/>
    <mergeCell ref="B84:B90"/>
    <mergeCell ref="B91:B97"/>
    <mergeCell ref="B98:B104"/>
    <mergeCell ref="B69:N69"/>
    <mergeCell ref="C57:E57"/>
    <mergeCell ref="C61:E61"/>
    <mergeCell ref="B63:B64"/>
    <mergeCell ref="C63:C64"/>
    <mergeCell ref="D63:D64"/>
    <mergeCell ref="E63:E64"/>
    <mergeCell ref="F63:H63"/>
    <mergeCell ref="I63:K63"/>
    <mergeCell ref="L63:N63"/>
    <mergeCell ref="C67:N67"/>
    <mergeCell ref="B68:N68"/>
    <mergeCell ref="B55:E55"/>
    <mergeCell ref="C40:E40"/>
    <mergeCell ref="C41:E41"/>
    <mergeCell ref="C42:E42"/>
    <mergeCell ref="B43:E43"/>
    <mergeCell ref="B45:E45"/>
    <mergeCell ref="B48:E48"/>
    <mergeCell ref="B50:E50"/>
    <mergeCell ref="B51:B52"/>
    <mergeCell ref="C51:E52"/>
    <mergeCell ref="C53:E53"/>
    <mergeCell ref="C54:E54"/>
    <mergeCell ref="B39:E39"/>
    <mergeCell ref="C19:E19"/>
    <mergeCell ref="C20:E20"/>
    <mergeCell ref="C21:E21"/>
    <mergeCell ref="C22:E22"/>
    <mergeCell ref="B25:E25"/>
    <mergeCell ref="B26:E26"/>
    <mergeCell ref="E28:E31"/>
    <mergeCell ref="B33:E33"/>
    <mergeCell ref="C34:E34"/>
    <mergeCell ref="C35:E35"/>
    <mergeCell ref="C36:E36"/>
    <mergeCell ref="C18:E18"/>
    <mergeCell ref="A1:B1"/>
    <mergeCell ref="C3:E3"/>
    <mergeCell ref="C5:E5"/>
    <mergeCell ref="B6:E6"/>
    <mergeCell ref="C8:E8"/>
    <mergeCell ref="B9:E9"/>
    <mergeCell ref="C11:E11"/>
    <mergeCell ref="B12:E12"/>
    <mergeCell ref="C14:E14"/>
    <mergeCell ref="B15:E15"/>
    <mergeCell ref="B17:E17"/>
  </mergeCells>
  <pageMargins left="0.7" right="0.7" top="0.75" bottom="0.75" header="0.3" footer="0.3"/>
  <pageSetup paperSize="8" scale="89" orientation="landscape" verticalDpi="1200" r:id="rId1"/>
  <rowBreaks count="1" manualBreakCount="1">
    <brk id="45"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7735-DAD8-487F-9982-9D50876EE1E9}">
  <dimension ref="A1:N112"/>
  <sheetViews>
    <sheetView view="pageBreakPreview" topLeftCell="A73" zoomScale="60" zoomScaleNormal="71" workbookViewId="0">
      <selection activeCell="B61" sqref="B61:E61"/>
    </sheetView>
  </sheetViews>
  <sheetFormatPr defaultColWidth="9.07421875" defaultRowHeight="14.6" x14ac:dyDescent="0.4"/>
  <cols>
    <col min="1" max="1" width="6.4609375" bestFit="1" customWidth="1"/>
    <col min="2" max="2" width="49.53515625" customWidth="1"/>
    <col min="3" max="3" width="37.765625" customWidth="1"/>
    <col min="4" max="4" width="36.53515625" customWidth="1"/>
    <col min="5" max="5" width="18.69140625" customWidth="1"/>
    <col min="6" max="6" width="9.3046875" bestFit="1" customWidth="1"/>
    <col min="8" max="8" width="10" bestFit="1" customWidth="1"/>
    <col min="9" max="9" width="10.074218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1532</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1533</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420.66</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605">
        <v>12.56</v>
      </c>
      <c r="D18" s="606"/>
      <c r="E18" s="607"/>
      <c r="F18" s="15"/>
      <c r="G18" s="13"/>
      <c r="H18" s="13"/>
      <c r="I18" s="13"/>
      <c r="J18" s="13"/>
      <c r="K18" s="13"/>
      <c r="L18" s="13"/>
      <c r="M18" s="13"/>
      <c r="N18" s="13"/>
    </row>
    <row r="19" spans="1:14" ht="42" customHeight="1" x14ac:dyDescent="0.4">
      <c r="A19" s="9"/>
      <c r="B19" s="14" t="s">
        <v>1517</v>
      </c>
      <c r="C19" s="605" t="s">
        <v>1516</v>
      </c>
      <c r="D19" s="606"/>
      <c r="E19" s="607"/>
      <c r="F19" s="15"/>
      <c r="G19" s="13" t="s">
        <v>693</v>
      </c>
      <c r="H19" s="8"/>
      <c r="I19" s="13"/>
      <c r="J19" s="13"/>
      <c r="K19" s="13"/>
      <c r="L19" s="13"/>
      <c r="M19" s="13"/>
      <c r="N19" s="13"/>
    </row>
    <row r="20" spans="1:14" x14ac:dyDescent="0.4">
      <c r="A20" s="9"/>
      <c r="B20" s="14" t="s">
        <v>605</v>
      </c>
      <c r="C20" s="446" t="s">
        <v>319</v>
      </c>
      <c r="D20" s="446"/>
      <c r="E20" s="446"/>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c r="B38" s="15"/>
      <c r="C38" s="13"/>
      <c r="D38" s="169"/>
      <c r="E38" s="13"/>
      <c r="F38" s="13"/>
      <c r="G38" s="8"/>
      <c r="H38" s="8"/>
      <c r="I38" s="8"/>
      <c r="J38" s="8"/>
      <c r="K38" s="8"/>
      <c r="L38" s="8"/>
      <c r="M38" s="8"/>
      <c r="N38" s="8"/>
    </row>
    <row r="39" spans="1:14" x14ac:dyDescent="0.4">
      <c r="A39" s="9">
        <v>8</v>
      </c>
      <c r="B39" s="365" t="s">
        <v>1084</v>
      </c>
      <c r="C39" s="365"/>
      <c r="D39" s="365"/>
      <c r="E39" s="365"/>
      <c r="F39" s="11"/>
      <c r="G39" s="11"/>
      <c r="H39" s="11"/>
      <c r="I39" s="11"/>
      <c r="J39" s="11"/>
      <c r="K39" s="8"/>
      <c r="L39" s="8"/>
      <c r="M39" s="8"/>
      <c r="N39" s="8"/>
    </row>
    <row r="40" spans="1:14" ht="15.05" customHeight="1" x14ac:dyDescent="0.4">
      <c r="A40" s="9"/>
      <c r="B40" s="17" t="s">
        <v>34</v>
      </c>
      <c r="C40" s="373" t="s">
        <v>319</v>
      </c>
      <c r="D40" s="374"/>
      <c r="E40" s="375"/>
      <c r="F40" s="13"/>
      <c r="G40" s="8"/>
      <c r="H40" s="8"/>
      <c r="I40" s="8"/>
      <c r="J40" s="8"/>
      <c r="K40" s="8"/>
      <c r="L40" s="8"/>
      <c r="M40" s="8"/>
      <c r="N40" s="8"/>
    </row>
    <row r="41" spans="1:14" x14ac:dyDescent="0.4">
      <c r="A41" s="9"/>
      <c r="B41" s="17" t="s">
        <v>31</v>
      </c>
      <c r="C41" s="373" t="s">
        <v>320</v>
      </c>
      <c r="D41" s="374"/>
      <c r="E41" s="375"/>
      <c r="F41" s="13"/>
      <c r="G41" s="8"/>
      <c r="H41" s="8"/>
      <c r="I41" s="8"/>
      <c r="J41" s="8"/>
      <c r="K41" s="8"/>
      <c r="L41" s="8"/>
      <c r="M41" s="8"/>
      <c r="N41" s="8"/>
    </row>
    <row r="42" spans="1:14" x14ac:dyDescent="0.4">
      <c r="A42" s="9"/>
      <c r="B42" s="17" t="s">
        <v>32</v>
      </c>
      <c r="C42" s="446" t="s">
        <v>201</v>
      </c>
      <c r="D42" s="446"/>
      <c r="E42" s="446"/>
      <c r="F42" s="13"/>
      <c r="G42" s="8"/>
      <c r="H42" s="8"/>
      <c r="I42" s="8"/>
      <c r="J42" s="8"/>
      <c r="K42" s="8"/>
      <c r="L42" s="8"/>
      <c r="M42" s="8"/>
      <c r="N42" s="8"/>
    </row>
    <row r="43" spans="1:14" x14ac:dyDescent="0.4">
      <c r="A43" s="9"/>
      <c r="B43" s="363" t="s">
        <v>848</v>
      </c>
      <c r="C43" s="368"/>
      <c r="D43" s="368"/>
      <c r="E43" s="369"/>
      <c r="F43" s="13"/>
      <c r="G43" s="8"/>
      <c r="H43" s="8"/>
      <c r="I43" s="8"/>
      <c r="J43" s="8"/>
      <c r="K43" s="8"/>
      <c r="L43" s="8"/>
      <c r="M43" s="8"/>
      <c r="N43" s="8"/>
    </row>
    <row r="44" spans="1:14" x14ac:dyDescent="0.4">
      <c r="A44" s="2"/>
      <c r="B44" s="8"/>
      <c r="C44" s="8"/>
      <c r="D44" s="173"/>
      <c r="E44" s="13"/>
      <c r="F44" s="8"/>
      <c r="G44" s="8"/>
      <c r="H44" s="8"/>
      <c r="I44" s="8"/>
      <c r="J44" s="8"/>
      <c r="K44" s="8"/>
      <c r="L44" s="8"/>
      <c r="M44" s="8"/>
      <c r="N44" s="8"/>
    </row>
    <row r="45" spans="1:14" x14ac:dyDescent="0.4">
      <c r="A45" s="24">
        <v>9</v>
      </c>
      <c r="B45" s="376" t="s">
        <v>1085</v>
      </c>
      <c r="C45" s="365"/>
      <c r="D45" s="365"/>
      <c r="E45" s="365"/>
      <c r="F45" s="25"/>
      <c r="G45" s="11"/>
      <c r="H45" s="11"/>
      <c r="I45" s="11"/>
      <c r="J45" s="8"/>
      <c r="K45" s="8"/>
      <c r="L45" s="8"/>
      <c r="M45" s="8"/>
      <c r="N45" s="8"/>
    </row>
    <row r="46" spans="1:14" ht="38.450000000000003" x14ac:dyDescent="0.4">
      <c r="A46" s="24"/>
      <c r="B46" s="26" t="s">
        <v>37</v>
      </c>
      <c r="C46" s="27" t="s">
        <v>38</v>
      </c>
      <c r="D46" s="174" t="s">
        <v>39</v>
      </c>
      <c r="E46" s="27" t="s">
        <v>206</v>
      </c>
      <c r="F46" s="8"/>
      <c r="G46" s="8"/>
      <c r="H46" s="8"/>
      <c r="I46" s="8"/>
      <c r="J46" s="8"/>
      <c r="K46" s="8"/>
      <c r="L46" s="8"/>
      <c r="M46" s="8"/>
      <c r="N46" s="8"/>
    </row>
    <row r="47" spans="1:14" ht="159.05000000000001" x14ac:dyDescent="0.4">
      <c r="A47" s="29"/>
      <c r="B47" s="30" t="s">
        <v>1534</v>
      </c>
      <c r="C47" s="30" t="s">
        <v>1559</v>
      </c>
      <c r="D47" s="30" t="s">
        <v>1558</v>
      </c>
      <c r="E47" s="117" t="s">
        <v>83</v>
      </c>
      <c r="F47" s="8"/>
      <c r="G47" s="8"/>
      <c r="H47" s="8"/>
      <c r="I47" s="8"/>
      <c r="J47" s="8"/>
      <c r="K47" s="8"/>
      <c r="L47" s="8"/>
      <c r="M47" s="8"/>
      <c r="N47" s="8"/>
    </row>
    <row r="48" spans="1:14" x14ac:dyDescent="0.4">
      <c r="A48" s="31"/>
      <c r="B48" s="380" t="s">
        <v>1567</v>
      </c>
      <c r="C48" s="381"/>
      <c r="D48" s="381"/>
      <c r="E48" s="382"/>
      <c r="F48" s="15"/>
      <c r="G48" s="15"/>
      <c r="H48" s="15"/>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21.75" customHeight="1" x14ac:dyDescent="0.4">
      <c r="A51" s="29"/>
      <c r="B51" s="383" t="s">
        <v>43</v>
      </c>
      <c r="C51" s="581" t="s">
        <v>1535</v>
      </c>
      <c r="D51" s="582"/>
      <c r="E51" s="583"/>
      <c r="F51" s="8"/>
      <c r="G51" s="8"/>
      <c r="H51" s="8"/>
      <c r="I51" s="8"/>
      <c r="J51" s="8"/>
      <c r="K51" s="1"/>
      <c r="L51" s="8"/>
      <c r="M51" s="8"/>
      <c r="N51" s="8"/>
    </row>
    <row r="52" spans="1:14" ht="83.3" customHeight="1" x14ac:dyDescent="0.4">
      <c r="A52" s="29"/>
      <c r="B52" s="384"/>
      <c r="C52" s="584"/>
      <c r="D52" s="585"/>
      <c r="E52" s="586"/>
      <c r="F52" s="8"/>
      <c r="G52" s="8"/>
      <c r="H52" s="8"/>
      <c r="I52" s="8"/>
      <c r="J52" s="8"/>
      <c r="K52" s="1"/>
      <c r="L52" s="8"/>
      <c r="M52" s="8"/>
      <c r="N52" s="8"/>
    </row>
    <row r="53" spans="1:14" ht="87.6" customHeight="1" x14ac:dyDescent="0.4">
      <c r="A53" s="24"/>
      <c r="B53" s="33" t="s">
        <v>44</v>
      </c>
      <c r="C53" s="391" t="s">
        <v>1558</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x14ac:dyDescent="0.4">
      <c r="A55" s="29"/>
      <c r="B55" s="380" t="s">
        <v>1567</v>
      </c>
      <c r="C55" s="381"/>
      <c r="D55" s="381"/>
      <c r="E55" s="382"/>
      <c r="F55" s="8"/>
      <c r="G55" s="8"/>
      <c r="H55" s="8"/>
      <c r="I55" s="8"/>
      <c r="J55" s="8"/>
      <c r="K55" s="34"/>
      <c r="L55" s="8"/>
      <c r="M55" s="8"/>
      <c r="N55" s="8"/>
    </row>
    <row r="56" spans="1:14" x14ac:dyDescent="0.4">
      <c r="A56" s="35" t="s">
        <v>47</v>
      </c>
      <c r="B56" s="392" t="s">
        <v>48</v>
      </c>
      <c r="C56" s="392"/>
      <c r="D56" s="392"/>
      <c r="E56" s="392"/>
      <c r="F56" s="63"/>
      <c r="G56" s="63"/>
      <c r="H56" s="63"/>
      <c r="I56" s="63"/>
      <c r="J56" s="63"/>
      <c r="K56" s="63"/>
      <c r="L56" s="63"/>
      <c r="M56" s="63"/>
      <c r="N56" s="63"/>
    </row>
    <row r="57" spans="1:14" x14ac:dyDescent="0.4">
      <c r="A57" s="40"/>
      <c r="B57" s="41"/>
      <c r="C57" s="42"/>
      <c r="D57" s="175"/>
      <c r="E57" s="42"/>
      <c r="F57" s="42"/>
      <c r="G57" s="8"/>
      <c r="H57" s="230"/>
      <c r="I57" s="8"/>
      <c r="J57" s="8"/>
      <c r="K57" s="8"/>
      <c r="L57" s="8"/>
      <c r="M57" s="8"/>
      <c r="N57" s="8"/>
    </row>
    <row r="58" spans="1:14" x14ac:dyDescent="0.4">
      <c r="A58" s="9">
        <v>11</v>
      </c>
      <c r="B58" s="3" t="s">
        <v>49</v>
      </c>
      <c r="C58" s="580" t="s">
        <v>851</v>
      </c>
      <c r="D58" s="580"/>
      <c r="E58" s="580"/>
      <c r="F58" s="11"/>
      <c r="G58" s="11"/>
      <c r="H58" s="43"/>
      <c r="I58" s="11"/>
      <c r="J58" s="11"/>
      <c r="K58" s="8"/>
      <c r="L58" s="8"/>
      <c r="M58" s="8"/>
      <c r="N58" s="8"/>
    </row>
    <row r="59" spans="1:14" x14ac:dyDescent="0.4">
      <c r="A59" s="9"/>
      <c r="B59" s="15"/>
      <c r="C59" s="15"/>
      <c r="D59" s="170"/>
      <c r="E59" s="15"/>
      <c r="F59" s="15"/>
      <c r="G59" s="15"/>
      <c r="H59" s="44"/>
      <c r="I59" s="44"/>
      <c r="J59" s="15"/>
      <c r="K59" s="8"/>
      <c r="L59" s="8"/>
      <c r="M59" s="8"/>
      <c r="N59" s="8"/>
    </row>
    <row r="60" spans="1:14" x14ac:dyDescent="0.4">
      <c r="A60" s="9">
        <v>12</v>
      </c>
      <c r="B60" s="11" t="s">
        <v>51</v>
      </c>
      <c r="C60" s="11"/>
      <c r="D60" s="176"/>
      <c r="E60" s="43"/>
      <c r="F60" s="43"/>
      <c r="G60" s="11"/>
      <c r="H60" s="11"/>
      <c r="I60" s="11"/>
      <c r="J60" s="11"/>
      <c r="K60" s="11"/>
      <c r="L60" s="11"/>
      <c r="M60" s="11"/>
      <c r="N60" s="11"/>
    </row>
    <row r="61" spans="1:14" x14ac:dyDescent="0.4">
      <c r="A61" s="9"/>
      <c r="B61" s="11"/>
      <c r="C61" s="11"/>
      <c r="D61" s="176"/>
      <c r="E61" s="43"/>
      <c r="F61" s="43"/>
      <c r="G61" s="43"/>
      <c r="H61" s="11"/>
      <c r="I61" s="11"/>
      <c r="J61" s="11"/>
      <c r="K61" s="11"/>
      <c r="L61" s="11"/>
      <c r="M61" s="11"/>
      <c r="N61" s="11"/>
    </row>
    <row r="62" spans="1:14" x14ac:dyDescent="0.4">
      <c r="A62" s="9"/>
      <c r="B62" s="17" t="s">
        <v>52</v>
      </c>
      <c r="C62" s="446" t="s">
        <v>1536</v>
      </c>
      <c r="D62" s="446"/>
      <c r="E62" s="446"/>
      <c r="F62" s="44"/>
      <c r="G62" s="44"/>
      <c r="H62" s="118"/>
      <c r="I62" s="15"/>
      <c r="J62" s="15"/>
      <c r="K62" s="15"/>
      <c r="L62" s="15"/>
      <c r="M62" s="15"/>
      <c r="N62" s="15"/>
    </row>
    <row r="63" spans="1:14" x14ac:dyDescent="0.4">
      <c r="A63" s="9"/>
      <c r="B63" s="15"/>
      <c r="C63" s="15"/>
      <c r="D63" s="236"/>
      <c r="E63" s="118"/>
      <c r="F63" s="15"/>
      <c r="G63" s="15"/>
      <c r="H63" s="118"/>
      <c r="I63" s="118"/>
      <c r="J63" s="15"/>
      <c r="K63" s="15"/>
      <c r="L63" s="15"/>
      <c r="M63" s="15"/>
      <c r="N63" s="15"/>
    </row>
    <row r="64" spans="1:14" x14ac:dyDescent="0.4">
      <c r="A64" s="9"/>
      <c r="B64" s="365" t="s">
        <v>53</v>
      </c>
      <c r="C64" s="366" t="s">
        <v>1537</v>
      </c>
      <c r="D64" s="558" t="s">
        <v>1538</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159.6</v>
      </c>
      <c r="D66" s="101">
        <v>114.25</v>
      </c>
      <c r="E66" s="101" t="s">
        <v>41</v>
      </c>
      <c r="F66" s="101" t="s">
        <v>41</v>
      </c>
      <c r="G66" s="101" t="s">
        <v>41</v>
      </c>
      <c r="H66" s="101" t="s">
        <v>41</v>
      </c>
      <c r="I66" s="45" t="s">
        <v>41</v>
      </c>
      <c r="J66" s="45" t="s">
        <v>41</v>
      </c>
      <c r="K66" s="45" t="s">
        <v>41</v>
      </c>
      <c r="L66" s="45" t="s">
        <v>41</v>
      </c>
      <c r="M66" s="45" t="s">
        <v>41</v>
      </c>
      <c r="N66" s="45" t="s">
        <v>41</v>
      </c>
    </row>
    <row r="67" spans="1:14" x14ac:dyDescent="0.4">
      <c r="A67" s="2"/>
      <c r="B67" s="17" t="s">
        <v>216</v>
      </c>
      <c r="C67" s="284">
        <v>69653.73</v>
      </c>
      <c r="D67" s="287">
        <v>71847.570000000007</v>
      </c>
      <c r="E67" s="101" t="s">
        <v>41</v>
      </c>
      <c r="F67" s="101" t="s">
        <v>41</v>
      </c>
      <c r="G67" s="101" t="s">
        <v>41</v>
      </c>
      <c r="H67" s="101" t="s">
        <v>41</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s="8" customFormat="1" ht="13.25" x14ac:dyDescent="0.4">
      <c r="A69" s="2"/>
      <c r="B69" s="664" t="s">
        <v>1102</v>
      </c>
      <c r="C69" s="664"/>
      <c r="D69" s="664"/>
      <c r="E69" s="664"/>
      <c r="F69" s="664"/>
      <c r="G69" s="664"/>
      <c r="H69" s="664"/>
      <c r="I69" s="664"/>
      <c r="J69" s="664"/>
      <c r="K69" s="664"/>
      <c r="L69" s="664"/>
      <c r="M69" s="664"/>
      <c r="N69" s="664"/>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1127</v>
      </c>
      <c r="E78" s="18" t="s">
        <v>218</v>
      </c>
      <c r="F78" s="18" t="s">
        <v>71</v>
      </c>
      <c r="G78" s="18" t="s">
        <v>107</v>
      </c>
      <c r="H78" s="13"/>
      <c r="I78" s="13"/>
      <c r="J78" s="13"/>
      <c r="K78" s="13"/>
      <c r="L78" s="13"/>
      <c r="M78" s="13"/>
      <c r="N78" s="13"/>
    </row>
    <row r="79" spans="1:14" ht="25.55" customHeight="1" x14ac:dyDescent="0.4">
      <c r="A79" s="2"/>
      <c r="B79" s="411" t="s">
        <v>1271</v>
      </c>
      <c r="C79" s="207" t="s">
        <v>1540</v>
      </c>
      <c r="D79" s="55">
        <v>7.89</v>
      </c>
      <c r="E79" s="435" t="s">
        <v>1338</v>
      </c>
      <c r="F79" s="435" t="s">
        <v>326</v>
      </c>
      <c r="G79" s="435" t="s">
        <v>220</v>
      </c>
      <c r="H79" s="53"/>
      <c r="I79" s="53"/>
      <c r="J79" s="53"/>
      <c r="K79" s="53"/>
      <c r="L79" s="53"/>
      <c r="M79" s="53"/>
      <c r="N79" s="53"/>
    </row>
    <row r="80" spans="1:14" x14ac:dyDescent="0.4">
      <c r="A80" s="2"/>
      <c r="B80" s="533"/>
      <c r="C80" s="207" t="s">
        <v>987</v>
      </c>
      <c r="D80" s="287" t="s">
        <v>1077</v>
      </c>
      <c r="E80" s="436"/>
      <c r="F80" s="436"/>
      <c r="G80" s="436"/>
      <c r="H80" s="53"/>
      <c r="I80" s="53"/>
      <c r="J80" s="53"/>
      <c r="K80" s="53"/>
      <c r="L80" s="53"/>
      <c r="M80" s="53"/>
      <c r="N80" s="53"/>
    </row>
    <row r="81" spans="1:14" ht="26.5" x14ac:dyDescent="0.4">
      <c r="A81" s="2"/>
      <c r="B81" s="533"/>
      <c r="C81" s="350" t="s">
        <v>1541</v>
      </c>
      <c r="D81" s="287">
        <v>7.55</v>
      </c>
      <c r="E81" s="436"/>
      <c r="F81" s="436"/>
      <c r="G81" s="436"/>
      <c r="H81" s="53"/>
      <c r="I81" s="53"/>
      <c r="J81" s="53"/>
      <c r="K81" s="53"/>
      <c r="L81" s="53"/>
      <c r="M81" s="53"/>
      <c r="N81" s="53"/>
    </row>
    <row r="82" spans="1:14" x14ac:dyDescent="0.4">
      <c r="A82" s="2"/>
      <c r="B82" s="533"/>
      <c r="C82" s="350" t="s">
        <v>1542</v>
      </c>
      <c r="D82" s="287">
        <v>1.47</v>
      </c>
      <c r="E82" s="436"/>
      <c r="F82" s="436"/>
      <c r="G82" s="436"/>
      <c r="H82" s="53"/>
      <c r="I82" s="53"/>
      <c r="J82" s="53"/>
      <c r="K82" s="53"/>
      <c r="L82" s="53"/>
      <c r="M82" s="53"/>
      <c r="N82" s="53"/>
    </row>
    <row r="83" spans="1:14" x14ac:dyDescent="0.4">
      <c r="A83" s="2"/>
      <c r="B83" s="533"/>
      <c r="C83" s="350" t="s">
        <v>1543</v>
      </c>
      <c r="D83" s="287">
        <v>20.67</v>
      </c>
      <c r="E83" s="436"/>
      <c r="F83" s="436"/>
      <c r="G83" s="436"/>
      <c r="H83" s="53"/>
      <c r="I83" s="53"/>
      <c r="J83" s="53"/>
      <c r="K83" s="53"/>
      <c r="L83" s="53"/>
      <c r="M83" s="53"/>
      <c r="N83" s="53"/>
    </row>
    <row r="84" spans="1:14" x14ac:dyDescent="0.4">
      <c r="A84" s="2"/>
      <c r="B84" s="534"/>
      <c r="C84" s="207" t="s">
        <v>74</v>
      </c>
      <c r="D84" s="55">
        <f>(D81+D82+D83)/3</f>
        <v>9.8966666666666665</v>
      </c>
      <c r="E84" s="436"/>
      <c r="F84" s="436"/>
      <c r="G84" s="436"/>
      <c r="H84" s="53"/>
      <c r="I84" s="53"/>
      <c r="J84" s="53"/>
      <c r="K84" s="53"/>
      <c r="L84" s="53"/>
      <c r="M84" s="53"/>
      <c r="N84" s="53"/>
    </row>
    <row r="85" spans="1:14" x14ac:dyDescent="0.4">
      <c r="A85" s="2"/>
      <c r="B85" s="411" t="s">
        <v>75</v>
      </c>
      <c r="C85" s="207" t="s">
        <v>1540</v>
      </c>
      <c r="D85" s="287">
        <v>10.14</v>
      </c>
      <c r="E85" s="436"/>
      <c r="F85" s="436"/>
      <c r="G85" s="436"/>
      <c r="H85" s="53"/>
      <c r="I85" s="53"/>
      <c r="J85" s="53"/>
      <c r="K85" s="53"/>
      <c r="L85" s="53"/>
      <c r="M85" s="53"/>
      <c r="N85" s="53"/>
    </row>
    <row r="86" spans="1:14" x14ac:dyDescent="0.4">
      <c r="A86" s="2"/>
      <c r="B86" s="533"/>
      <c r="C86" s="207" t="s">
        <v>987</v>
      </c>
      <c r="D86" s="287" t="s">
        <v>1077</v>
      </c>
      <c r="E86" s="436"/>
      <c r="F86" s="436"/>
      <c r="G86" s="436"/>
      <c r="H86" s="53"/>
      <c r="I86" s="53"/>
      <c r="J86" s="53"/>
      <c r="K86" s="53"/>
      <c r="L86" s="53"/>
      <c r="M86" s="53"/>
      <c r="N86" s="53"/>
    </row>
    <row r="87" spans="1:14" ht="26.5" x14ac:dyDescent="0.4">
      <c r="A87" s="2"/>
      <c r="B87" s="533"/>
      <c r="C87" s="350" t="s">
        <v>1541</v>
      </c>
      <c r="D87" s="287">
        <v>56.62</v>
      </c>
      <c r="E87" s="436"/>
      <c r="F87" s="436"/>
      <c r="G87" s="436"/>
      <c r="H87" s="53"/>
      <c r="I87" s="53"/>
      <c r="J87" s="53"/>
      <c r="K87" s="53"/>
      <c r="L87" s="53"/>
      <c r="M87" s="53"/>
      <c r="N87" s="53"/>
    </row>
    <row r="88" spans="1:14" x14ac:dyDescent="0.4">
      <c r="A88" s="2"/>
      <c r="B88" s="533"/>
      <c r="C88" s="350" t="s">
        <v>1542</v>
      </c>
      <c r="D88" s="287">
        <v>90.31</v>
      </c>
      <c r="E88" s="436"/>
      <c r="F88" s="436"/>
      <c r="G88" s="436"/>
      <c r="H88" s="53"/>
      <c r="I88" s="53"/>
      <c r="J88" s="53"/>
      <c r="K88" s="53"/>
      <c r="L88" s="53"/>
      <c r="M88" s="53"/>
      <c r="N88" s="53"/>
    </row>
    <row r="89" spans="1:14" x14ac:dyDescent="0.4">
      <c r="A89" s="2"/>
      <c r="B89" s="533"/>
      <c r="C89" s="350" t="s">
        <v>1543</v>
      </c>
      <c r="D89" s="287">
        <v>13</v>
      </c>
      <c r="E89" s="436"/>
      <c r="F89" s="436"/>
      <c r="G89" s="436"/>
      <c r="H89" s="53"/>
      <c r="I89" s="53"/>
      <c r="J89" s="53"/>
      <c r="K89" s="53"/>
      <c r="L89" s="53"/>
      <c r="M89" s="53"/>
      <c r="N89" s="53"/>
    </row>
    <row r="90" spans="1:14" x14ac:dyDescent="0.4">
      <c r="A90" s="2"/>
      <c r="B90" s="534"/>
      <c r="C90" s="207" t="s">
        <v>74</v>
      </c>
      <c r="D90" s="55">
        <f>(D87+D88+D89)/3</f>
        <v>53.31</v>
      </c>
      <c r="E90" s="436"/>
      <c r="F90" s="436"/>
      <c r="G90" s="436"/>
      <c r="H90" s="53"/>
      <c r="I90" s="53"/>
      <c r="J90" s="53"/>
      <c r="K90" s="53"/>
      <c r="L90" s="53"/>
      <c r="M90" s="53"/>
      <c r="N90" s="53"/>
    </row>
    <row r="91" spans="1:14" x14ac:dyDescent="0.4">
      <c r="A91" s="2"/>
      <c r="B91" s="411" t="s">
        <v>76</v>
      </c>
      <c r="C91" s="207" t="s">
        <v>1540</v>
      </c>
      <c r="D91" s="55">
        <v>40.17</v>
      </c>
      <c r="E91" s="436"/>
      <c r="F91" s="436"/>
      <c r="G91" s="436"/>
      <c r="H91" s="53"/>
      <c r="I91" s="53"/>
      <c r="J91" s="53"/>
      <c r="K91" s="53"/>
      <c r="L91" s="53"/>
      <c r="M91" s="53"/>
      <c r="N91" s="53"/>
    </row>
    <row r="92" spans="1:14" x14ac:dyDescent="0.4">
      <c r="A92" s="2"/>
      <c r="B92" s="533"/>
      <c r="C92" s="207" t="s">
        <v>987</v>
      </c>
      <c r="D92" s="287" t="s">
        <v>1077</v>
      </c>
      <c r="E92" s="436"/>
      <c r="F92" s="436"/>
      <c r="G92" s="436"/>
      <c r="H92" s="53"/>
      <c r="I92" s="53"/>
      <c r="J92" s="53"/>
      <c r="K92" s="53"/>
      <c r="L92" s="53"/>
      <c r="M92" s="53"/>
      <c r="N92" s="53"/>
    </row>
    <row r="93" spans="1:14" ht="26.5" x14ac:dyDescent="0.4">
      <c r="A93" s="2"/>
      <c r="B93" s="533"/>
      <c r="C93" s="350" t="s">
        <v>1541</v>
      </c>
      <c r="D93" s="287">
        <v>15.04</v>
      </c>
      <c r="E93" s="436"/>
      <c r="F93" s="436"/>
      <c r="G93" s="436"/>
      <c r="H93" s="53"/>
      <c r="I93" s="53"/>
      <c r="J93" s="53"/>
      <c r="K93" s="53"/>
      <c r="L93" s="53"/>
      <c r="M93" s="53"/>
      <c r="N93" s="53"/>
    </row>
    <row r="94" spans="1:14" x14ac:dyDescent="0.4">
      <c r="A94" s="2"/>
      <c r="B94" s="533"/>
      <c r="C94" s="350" t="s">
        <v>1542</v>
      </c>
      <c r="D94" s="287">
        <v>3.53</v>
      </c>
      <c r="E94" s="436"/>
      <c r="F94" s="436"/>
      <c r="G94" s="436"/>
      <c r="H94" s="53"/>
      <c r="I94" s="53"/>
      <c r="J94" s="53"/>
      <c r="K94" s="53"/>
      <c r="L94" s="53"/>
      <c r="M94" s="53"/>
      <c r="N94" s="53"/>
    </row>
    <row r="95" spans="1:14" x14ac:dyDescent="0.4">
      <c r="A95" s="2"/>
      <c r="B95" s="533"/>
      <c r="C95" s="350" t="s">
        <v>1543</v>
      </c>
      <c r="D95" s="287">
        <v>3.98</v>
      </c>
      <c r="E95" s="436"/>
      <c r="F95" s="436"/>
      <c r="G95" s="436"/>
      <c r="H95" s="53"/>
      <c r="I95" s="53"/>
      <c r="J95" s="53"/>
      <c r="K95" s="53"/>
      <c r="L95" s="53"/>
      <c r="M95" s="53"/>
      <c r="N95" s="53"/>
    </row>
    <row r="96" spans="1:14" x14ac:dyDescent="0.4">
      <c r="A96" s="2"/>
      <c r="B96" s="534"/>
      <c r="C96" s="207" t="s">
        <v>74</v>
      </c>
      <c r="D96" s="55">
        <f>(D93+D94+D95)/3</f>
        <v>7.5166666666666666</v>
      </c>
      <c r="E96" s="436"/>
      <c r="F96" s="436"/>
      <c r="G96" s="436"/>
      <c r="H96" s="53"/>
      <c r="I96" s="53"/>
      <c r="J96" s="53"/>
      <c r="K96" s="53"/>
      <c r="L96" s="53"/>
      <c r="M96" s="53"/>
      <c r="N96" s="53"/>
    </row>
    <row r="97" spans="1:14" x14ac:dyDescent="0.4">
      <c r="A97" s="2"/>
      <c r="B97" s="603" t="s">
        <v>77</v>
      </c>
      <c r="C97" s="207" t="s">
        <v>1540</v>
      </c>
      <c r="D97" s="287">
        <v>19.649999999999999</v>
      </c>
      <c r="E97" s="436"/>
      <c r="F97" s="436"/>
      <c r="G97" s="436"/>
      <c r="H97" s="53"/>
      <c r="I97" s="53"/>
      <c r="J97" s="53"/>
      <c r="K97" s="53"/>
      <c r="L97" s="53"/>
      <c r="M97" s="53"/>
      <c r="N97" s="53"/>
    </row>
    <row r="98" spans="1:14" x14ac:dyDescent="0.4">
      <c r="A98" s="2"/>
      <c r="B98" s="604"/>
      <c r="C98" s="207" t="s">
        <v>987</v>
      </c>
      <c r="D98" s="287" t="s">
        <v>1077</v>
      </c>
      <c r="E98" s="436"/>
      <c r="F98" s="436"/>
      <c r="G98" s="436"/>
      <c r="H98" s="53"/>
      <c r="I98" s="53"/>
      <c r="J98" s="53"/>
      <c r="K98" s="53"/>
      <c r="L98" s="53"/>
      <c r="M98" s="53"/>
      <c r="N98" s="53"/>
    </row>
    <row r="99" spans="1:14" ht="26.5" x14ac:dyDescent="0.4">
      <c r="A99" s="2"/>
      <c r="B99" s="604"/>
      <c r="C99" s="350" t="s">
        <v>1541</v>
      </c>
      <c r="D99" s="287">
        <v>50.13</v>
      </c>
      <c r="E99" s="436"/>
      <c r="F99" s="436"/>
      <c r="G99" s="436"/>
      <c r="H99" s="53"/>
      <c r="I99" s="53"/>
      <c r="J99" s="53"/>
      <c r="K99" s="53"/>
      <c r="L99" s="53"/>
      <c r="M99" s="53"/>
      <c r="N99" s="53"/>
    </row>
    <row r="100" spans="1:14" x14ac:dyDescent="0.4">
      <c r="A100" s="2"/>
      <c r="B100" s="604"/>
      <c r="C100" s="350" t="s">
        <v>1542</v>
      </c>
      <c r="D100" s="287">
        <v>516.9</v>
      </c>
      <c r="E100" s="436"/>
      <c r="F100" s="436"/>
      <c r="G100" s="436"/>
      <c r="H100" s="53"/>
      <c r="I100" s="53"/>
      <c r="J100" s="53"/>
      <c r="K100" s="53"/>
      <c r="L100" s="53"/>
      <c r="M100" s="53"/>
      <c r="N100" s="53"/>
    </row>
    <row r="101" spans="1:14" x14ac:dyDescent="0.4">
      <c r="A101" s="2"/>
      <c r="B101" s="604"/>
      <c r="C101" s="350" t="s">
        <v>1543</v>
      </c>
      <c r="D101" s="287">
        <v>41.38</v>
      </c>
      <c r="E101" s="436"/>
      <c r="F101" s="436"/>
      <c r="G101" s="436"/>
      <c r="H101" s="53"/>
      <c r="I101" s="53"/>
      <c r="J101" s="53"/>
      <c r="K101" s="53"/>
      <c r="L101" s="53"/>
      <c r="M101" s="53"/>
      <c r="N101" s="53"/>
    </row>
    <row r="102" spans="1:14" ht="15.05" customHeight="1" x14ac:dyDescent="0.4">
      <c r="A102" s="2"/>
      <c r="B102" s="604"/>
      <c r="C102" s="3" t="s">
        <v>74</v>
      </c>
      <c r="D102" s="55">
        <f>(D99+D100+D101)/3</f>
        <v>202.80333333333331</v>
      </c>
      <c r="E102" s="547"/>
      <c r="F102" s="547"/>
      <c r="G102" s="547"/>
      <c r="H102" s="53"/>
      <c r="I102" s="53"/>
      <c r="J102" s="53"/>
      <c r="K102" s="53"/>
      <c r="L102" s="53"/>
      <c r="M102" s="53"/>
      <c r="N102" s="53"/>
    </row>
    <row r="103" spans="1:14" ht="15.8" customHeight="1" x14ac:dyDescent="0.4">
      <c r="A103" s="8"/>
      <c r="B103" s="608" t="s">
        <v>1539</v>
      </c>
      <c r="C103" s="609"/>
      <c r="D103" s="609"/>
      <c r="E103" s="609"/>
      <c r="F103" s="609"/>
      <c r="G103" s="610"/>
      <c r="H103" s="53"/>
      <c r="I103" s="53"/>
      <c r="J103" s="8"/>
      <c r="K103" s="8"/>
      <c r="L103" s="8"/>
      <c r="M103" s="8"/>
      <c r="N103" s="8"/>
    </row>
    <row r="104" spans="1:14" ht="26.3" customHeight="1" x14ac:dyDescent="0.4">
      <c r="A104" s="9">
        <v>14</v>
      </c>
      <c r="B104" s="418" t="s">
        <v>85</v>
      </c>
      <c r="C104" s="419"/>
      <c r="D104" s="419"/>
      <c r="E104" s="419"/>
      <c r="F104" s="419"/>
      <c r="G104" s="420"/>
      <c r="H104" s="8"/>
      <c r="I104" s="8"/>
      <c r="J104" s="8"/>
      <c r="K104" s="8"/>
      <c r="L104" s="8"/>
      <c r="M104" s="8"/>
      <c r="N104" s="8"/>
    </row>
    <row r="105" spans="1:14" x14ac:dyDescent="0.4">
      <c r="A105" s="23"/>
      <c r="B105" s="61" t="s">
        <v>78</v>
      </c>
      <c r="C105" s="497" t="s">
        <v>41</v>
      </c>
      <c r="D105" s="497"/>
      <c r="E105" s="497"/>
      <c r="F105" s="497"/>
      <c r="G105" s="497"/>
      <c r="H105" s="8"/>
      <c r="I105" s="8"/>
      <c r="J105" s="8"/>
      <c r="K105" s="8"/>
      <c r="L105" s="8"/>
      <c r="M105" s="8"/>
      <c r="N105" s="8"/>
    </row>
    <row r="106" spans="1:14" x14ac:dyDescent="0.4">
      <c r="A106" s="8"/>
      <c r="B106" s="8"/>
      <c r="C106" s="10"/>
      <c r="D106" s="208"/>
      <c r="E106" s="200"/>
      <c r="F106" s="200"/>
      <c r="G106" s="200"/>
      <c r="H106" s="8"/>
      <c r="I106" s="8"/>
      <c r="J106" s="8"/>
      <c r="K106" s="8"/>
      <c r="L106" s="8"/>
      <c r="M106" s="8"/>
      <c r="N106" s="8"/>
    </row>
    <row r="107" spans="1:14" x14ac:dyDescent="0.4">
      <c r="B107" s="538" t="s">
        <v>1531</v>
      </c>
      <c r="C107" s="538"/>
      <c r="D107" s="538"/>
      <c r="E107" s="538"/>
      <c r="F107" s="538"/>
      <c r="G107" s="538"/>
    </row>
    <row r="108" spans="1:14" x14ac:dyDescent="0.4">
      <c r="C108" s="200"/>
    </row>
    <row r="109" spans="1:14" x14ac:dyDescent="0.4">
      <c r="B109" s="497" t="s">
        <v>1490</v>
      </c>
      <c r="C109" s="497"/>
      <c r="D109" s="497"/>
      <c r="E109" s="497"/>
      <c r="F109" s="497"/>
      <c r="G109" s="497"/>
    </row>
    <row r="110" spans="1:14" x14ac:dyDescent="0.4">
      <c r="C110" s="238"/>
    </row>
    <row r="111" spans="1:14" x14ac:dyDescent="0.4">
      <c r="C111" s="228"/>
      <c r="D111" s="228"/>
    </row>
    <row r="112" spans="1:14" x14ac:dyDescent="0.4">
      <c r="C112" s="228"/>
    </row>
  </sheetData>
  <sheetProtection algorithmName="SHA-512" hashValue="dI1DiPlNTUAimXh8q7QwAGnNpGr636y+qUy4P8WQH0SSwkf4XDugiR8yWXStWiSLCf3FSuwX9MzxSgLIXYVgHA==" saltValue="YH7uibi7bl4gTTv6DiUF/w==" spinCount="100000" sheet="1" objects="1" scenarios="1"/>
  <mergeCells count="69">
    <mergeCell ref="B9:E9"/>
    <mergeCell ref="A1:B1"/>
    <mergeCell ref="C3:E3"/>
    <mergeCell ref="C5:E5"/>
    <mergeCell ref="B6:E6"/>
    <mergeCell ref="C8:E8"/>
    <mergeCell ref="B25:E25"/>
    <mergeCell ref="C11:E11"/>
    <mergeCell ref="B12:E12"/>
    <mergeCell ref="C14:E14"/>
    <mergeCell ref="B15:E15"/>
    <mergeCell ref="B17:E17"/>
    <mergeCell ref="C18:E18"/>
    <mergeCell ref="C19:E19"/>
    <mergeCell ref="C20:E20"/>
    <mergeCell ref="C21:E21"/>
    <mergeCell ref="C22:E22"/>
    <mergeCell ref="B24:E24"/>
    <mergeCell ref="C42:E42"/>
    <mergeCell ref="C27:C30"/>
    <mergeCell ref="D27:D30"/>
    <mergeCell ref="E27:E30"/>
    <mergeCell ref="B31:E31"/>
    <mergeCell ref="B33:E33"/>
    <mergeCell ref="C34:E34"/>
    <mergeCell ref="C35:E35"/>
    <mergeCell ref="C36:E36"/>
    <mergeCell ref="B39:E39"/>
    <mergeCell ref="C40:E40"/>
    <mergeCell ref="C41:E41"/>
    <mergeCell ref="C62:E62"/>
    <mergeCell ref="B43:E43"/>
    <mergeCell ref="B45:E45"/>
    <mergeCell ref="B48:E48"/>
    <mergeCell ref="B50:E50"/>
    <mergeCell ref="B51:B52"/>
    <mergeCell ref="C51:E52"/>
    <mergeCell ref="C53:E53"/>
    <mergeCell ref="C54:E54"/>
    <mergeCell ref="B55:E55"/>
    <mergeCell ref="B56:E56"/>
    <mergeCell ref="C58:E58"/>
    <mergeCell ref="B72:N72"/>
    <mergeCell ref="B64:B65"/>
    <mergeCell ref="C64:C65"/>
    <mergeCell ref="D64:D65"/>
    <mergeCell ref="E64:E65"/>
    <mergeCell ref="F64:H64"/>
    <mergeCell ref="I64:K64"/>
    <mergeCell ref="L64:N64"/>
    <mergeCell ref="C68:N68"/>
    <mergeCell ref="B69:N69"/>
    <mergeCell ref="B70:N70"/>
    <mergeCell ref="B71:N71"/>
    <mergeCell ref="B73:N73"/>
    <mergeCell ref="B74:N74"/>
    <mergeCell ref="B76:G76"/>
    <mergeCell ref="B79:B84"/>
    <mergeCell ref="E79:E102"/>
    <mergeCell ref="F79:F102"/>
    <mergeCell ref="G79:G102"/>
    <mergeCell ref="B85:B90"/>
    <mergeCell ref="B91:B96"/>
    <mergeCell ref="B97:B102"/>
    <mergeCell ref="B103:G103"/>
    <mergeCell ref="B104:G104"/>
    <mergeCell ref="C105:G105"/>
    <mergeCell ref="B107:G107"/>
    <mergeCell ref="B109:G109"/>
  </mergeCells>
  <pageMargins left="0.7" right="0.7" top="0.75" bottom="0.75" header="0.3" footer="0.3"/>
  <pageSetup paperSize="8" scale="86" orientation="landscape" verticalDpi="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21C28-26FD-4B53-BC5C-C801D99FA1DB}">
  <dimension ref="A1:N116"/>
  <sheetViews>
    <sheetView view="pageBreakPreview" topLeftCell="A89" zoomScale="76" zoomScaleNormal="100" zoomScalePageLayoutView="50" workbookViewId="0">
      <selection activeCell="J60" sqref="J60"/>
    </sheetView>
  </sheetViews>
  <sheetFormatPr defaultRowHeight="14.6" x14ac:dyDescent="0.4"/>
  <cols>
    <col min="1" max="1" width="6.4609375" bestFit="1" customWidth="1"/>
    <col min="2" max="2" width="46" bestFit="1" customWidth="1"/>
    <col min="3" max="3" width="22.69140625" customWidth="1"/>
    <col min="4" max="4" width="18.07421875" customWidth="1"/>
    <col min="5" max="5" width="18.69140625" customWidth="1"/>
    <col min="6" max="6" width="9.3046875" bestFit="1" customWidth="1"/>
    <col min="7" max="8" width="10.3046875" bestFit="1" customWidth="1"/>
    <col min="9" max="9" width="7.07421875" bestFit="1" customWidth="1"/>
    <col min="10" max="10" width="9.07421875" bestFit="1" customWidth="1"/>
    <col min="11"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25.85" customHeight="1" x14ac:dyDescent="0.4">
      <c r="A3" s="2" t="s">
        <v>1</v>
      </c>
      <c r="B3" s="3" t="s">
        <v>2</v>
      </c>
      <c r="C3" s="497" t="s">
        <v>1631</v>
      </c>
      <c r="D3" s="497"/>
      <c r="E3" s="497"/>
      <c r="F3" s="353"/>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97" t="s">
        <v>1632</v>
      </c>
      <c r="D5" s="497"/>
      <c r="E5" s="497"/>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1633</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1634</v>
      </c>
      <c r="D14" s="497"/>
      <c r="E14" s="497"/>
      <c r="F14" s="351"/>
      <c r="G14" s="8"/>
      <c r="H14" s="8"/>
      <c r="I14" s="8"/>
      <c r="J14" s="8"/>
      <c r="K14" s="8"/>
      <c r="L14" s="8"/>
      <c r="M14" s="8"/>
      <c r="N14" s="8"/>
    </row>
    <row r="15" spans="1:14" x14ac:dyDescent="0.4">
      <c r="A15" s="9"/>
      <c r="B15" s="480" t="s">
        <v>10</v>
      </c>
      <c r="C15" s="480"/>
      <c r="D15" s="480"/>
      <c r="E15" s="480"/>
      <c r="F15" s="351"/>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3" t="s">
        <v>12</v>
      </c>
      <c r="C18" s="665">
        <v>0.1258</v>
      </c>
      <c r="D18" s="497"/>
      <c r="E18" s="497"/>
      <c r="F18" s="351"/>
      <c r="G18" s="13"/>
      <c r="H18" s="13"/>
      <c r="I18" s="13"/>
      <c r="J18" s="13"/>
      <c r="K18" s="13"/>
      <c r="L18" s="13"/>
      <c r="M18" s="13"/>
      <c r="N18" s="13"/>
    </row>
    <row r="19" spans="1:14" ht="25.65" x14ac:dyDescent="0.4">
      <c r="A19" s="9"/>
      <c r="B19" s="14" t="s">
        <v>1494</v>
      </c>
      <c r="C19" s="447" t="s">
        <v>1592</v>
      </c>
      <c r="D19" s="447"/>
      <c r="E19" s="447"/>
      <c r="F19" s="15"/>
      <c r="G19" s="13" t="s">
        <v>693</v>
      </c>
      <c r="H19" s="8"/>
      <c r="I19" s="13"/>
      <c r="J19" s="13"/>
      <c r="K19" s="13"/>
      <c r="L19" s="13"/>
      <c r="M19" s="13"/>
      <c r="N19" s="13"/>
    </row>
    <row r="20" spans="1:14" x14ac:dyDescent="0.4">
      <c r="A20" s="9"/>
      <c r="B20" s="14" t="s">
        <v>605</v>
      </c>
      <c r="C20" s="447" t="s">
        <v>319</v>
      </c>
      <c r="D20" s="447"/>
      <c r="E20" s="44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15"/>
      <c r="C23" s="15"/>
      <c r="D23" s="170"/>
      <c r="E23" s="15"/>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1022</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v>8</v>
      </c>
      <c r="B38" s="365" t="s">
        <v>1084</v>
      </c>
      <c r="C38" s="365"/>
      <c r="D38" s="365"/>
      <c r="E38" s="365"/>
      <c r="F38" s="11"/>
      <c r="G38" s="11"/>
      <c r="H38" s="11"/>
      <c r="I38" s="11"/>
      <c r="J38" s="11"/>
      <c r="K38" s="8"/>
      <c r="L38" s="8"/>
      <c r="M38" s="8"/>
      <c r="N38" s="8"/>
    </row>
    <row r="39" spans="1:14" ht="15.05" customHeight="1" x14ac:dyDescent="0.4">
      <c r="A39" s="9"/>
      <c r="B39" s="17" t="s">
        <v>34</v>
      </c>
      <c r="C39" s="446" t="s">
        <v>319</v>
      </c>
      <c r="D39" s="446"/>
      <c r="E39" s="446"/>
      <c r="F39" s="13"/>
      <c r="G39" s="8"/>
      <c r="H39" s="8"/>
      <c r="I39" s="8"/>
      <c r="J39" s="8"/>
      <c r="K39" s="8"/>
      <c r="L39" s="8"/>
      <c r="M39" s="8"/>
      <c r="N39" s="8"/>
    </row>
    <row r="40" spans="1:14" ht="14.35" customHeight="1" x14ac:dyDescent="0.4">
      <c r="A40" s="9"/>
      <c r="B40" s="17" t="s">
        <v>31</v>
      </c>
      <c r="C40" s="446" t="s">
        <v>320</v>
      </c>
      <c r="D40" s="446"/>
      <c r="E40" s="446"/>
      <c r="F40" s="13"/>
      <c r="G40" s="8"/>
      <c r="H40" s="8"/>
      <c r="I40" s="8"/>
      <c r="J40" s="8"/>
      <c r="K40" s="8"/>
      <c r="L40" s="8"/>
      <c r="M40" s="8"/>
      <c r="N40" s="8"/>
    </row>
    <row r="41" spans="1:14" ht="14.35" customHeight="1" x14ac:dyDescent="0.4">
      <c r="A41" s="9"/>
      <c r="B41" s="17" t="s">
        <v>32</v>
      </c>
      <c r="C41" s="446" t="s">
        <v>201</v>
      </c>
      <c r="D41" s="446"/>
      <c r="E41" s="446"/>
      <c r="F41" s="13"/>
      <c r="G41" s="8"/>
      <c r="H41" s="8"/>
      <c r="I41" s="8"/>
      <c r="J41" s="8"/>
      <c r="K41" s="8"/>
      <c r="L41" s="8"/>
      <c r="M41" s="8"/>
      <c r="N41" s="8"/>
    </row>
    <row r="42" spans="1:14" x14ac:dyDescent="0.4">
      <c r="A42" s="9"/>
      <c r="B42" s="363" t="s">
        <v>848</v>
      </c>
      <c r="C42" s="368"/>
      <c r="D42" s="368"/>
      <c r="E42" s="369"/>
      <c r="F42" s="13"/>
      <c r="G42" s="8"/>
      <c r="H42" s="8"/>
      <c r="I42" s="8"/>
      <c r="J42" s="8"/>
      <c r="K42" s="8"/>
      <c r="L42" s="8"/>
      <c r="M42" s="8"/>
      <c r="N42" s="8"/>
    </row>
    <row r="43" spans="1:14" x14ac:dyDescent="0.4">
      <c r="A43" s="2"/>
      <c r="B43" s="8"/>
      <c r="C43" s="8"/>
      <c r="D43" s="173"/>
      <c r="E43" s="13"/>
      <c r="F43" s="8"/>
      <c r="G43" s="8"/>
      <c r="H43" s="8"/>
      <c r="I43" s="8"/>
      <c r="J43" s="8"/>
      <c r="K43" s="8"/>
      <c r="L43" s="8"/>
      <c r="M43" s="8"/>
      <c r="N43" s="8"/>
    </row>
    <row r="44" spans="1:14" x14ac:dyDescent="0.4">
      <c r="A44" s="24">
        <v>9</v>
      </c>
      <c r="B44" s="376" t="s">
        <v>1085</v>
      </c>
      <c r="C44" s="365"/>
      <c r="D44" s="365"/>
      <c r="E44" s="365"/>
      <c r="F44" s="25"/>
      <c r="G44" s="11"/>
      <c r="H44" s="11"/>
      <c r="I44" s="11"/>
      <c r="J44" s="8"/>
      <c r="K44" s="8"/>
      <c r="L44" s="8"/>
      <c r="M44" s="8"/>
      <c r="N44" s="8"/>
    </row>
    <row r="45" spans="1:14" ht="38.450000000000003" x14ac:dyDescent="0.4">
      <c r="A45" s="24"/>
      <c r="B45" s="26" t="s">
        <v>37</v>
      </c>
      <c r="C45" s="27" t="s">
        <v>38</v>
      </c>
      <c r="D45" s="174" t="s">
        <v>39</v>
      </c>
      <c r="E45" s="27" t="s">
        <v>206</v>
      </c>
      <c r="F45" s="8"/>
      <c r="G45" s="8"/>
      <c r="H45" s="8"/>
      <c r="I45" s="8"/>
      <c r="J45" s="8"/>
      <c r="K45" s="8"/>
      <c r="L45" s="8"/>
      <c r="M45" s="8"/>
      <c r="N45" s="8"/>
    </row>
    <row r="46" spans="1:14" ht="145.80000000000001" x14ac:dyDescent="0.4">
      <c r="A46" s="29"/>
      <c r="B46" s="349" t="s">
        <v>1635</v>
      </c>
      <c r="C46" s="349" t="s">
        <v>1636</v>
      </c>
      <c r="D46" s="117" t="s">
        <v>186</v>
      </c>
      <c r="E46" s="117" t="s">
        <v>186</v>
      </c>
      <c r="F46" s="8"/>
      <c r="G46" s="8"/>
      <c r="H46" s="8"/>
      <c r="I46" s="8"/>
      <c r="J46" s="8"/>
      <c r="K46" s="8"/>
      <c r="L46" s="8"/>
      <c r="M46" s="8"/>
      <c r="N46" s="8"/>
    </row>
    <row r="47" spans="1:14" x14ac:dyDescent="0.4">
      <c r="A47" s="31"/>
      <c r="B47" s="380" t="s">
        <v>1637</v>
      </c>
      <c r="C47" s="381"/>
      <c r="D47" s="381"/>
      <c r="E47" s="382"/>
      <c r="F47" s="15"/>
      <c r="G47" s="15"/>
      <c r="H47" s="15"/>
      <c r="I47" s="8"/>
      <c r="J47" s="8"/>
      <c r="K47" s="8"/>
      <c r="L47" s="8"/>
      <c r="M47" s="8"/>
      <c r="N47" s="8"/>
    </row>
    <row r="48" spans="1:14" x14ac:dyDescent="0.4">
      <c r="A48" s="32"/>
      <c r="B48" s="62"/>
      <c r="C48" s="23"/>
      <c r="D48" s="173"/>
      <c r="E48" s="23"/>
      <c r="F48" s="15"/>
      <c r="G48" s="15"/>
      <c r="H48" s="15"/>
      <c r="I48" s="15"/>
      <c r="J48" s="8"/>
      <c r="K48" s="8"/>
      <c r="L48" s="8"/>
      <c r="M48" s="8"/>
      <c r="N48" s="8"/>
    </row>
    <row r="49" spans="1:14" x14ac:dyDescent="0.4">
      <c r="A49" s="24">
        <v>10</v>
      </c>
      <c r="B49" s="376" t="s">
        <v>1085</v>
      </c>
      <c r="C49" s="365"/>
      <c r="D49" s="365"/>
      <c r="E49" s="365"/>
      <c r="F49" s="15"/>
      <c r="G49" s="15"/>
      <c r="H49" s="15"/>
      <c r="I49" s="8"/>
      <c r="J49" s="8"/>
      <c r="K49" s="8"/>
      <c r="L49" s="8"/>
      <c r="M49" s="8"/>
      <c r="N49" s="8"/>
    </row>
    <row r="50" spans="1:14" ht="21.75" customHeight="1" x14ac:dyDescent="0.4">
      <c r="A50" s="29"/>
      <c r="B50" s="383" t="s">
        <v>43</v>
      </c>
      <c r="C50" s="519" t="s">
        <v>1636</v>
      </c>
      <c r="D50" s="520"/>
      <c r="E50" s="634"/>
      <c r="F50" s="8"/>
      <c r="G50" s="8"/>
      <c r="H50" s="8"/>
      <c r="I50" s="8"/>
      <c r="J50" s="8"/>
      <c r="K50" s="1"/>
      <c r="L50" s="8"/>
      <c r="M50" s="8"/>
      <c r="N50" s="8"/>
    </row>
    <row r="51" spans="1:14" ht="35.450000000000003" customHeight="1" x14ac:dyDescent="0.4">
      <c r="A51" s="29"/>
      <c r="B51" s="384"/>
      <c r="C51" s="555"/>
      <c r="D51" s="556"/>
      <c r="E51" s="557"/>
      <c r="F51" s="8"/>
      <c r="G51" s="8"/>
      <c r="H51" s="8"/>
      <c r="I51" s="8"/>
      <c r="J51" s="8"/>
      <c r="K51" s="1"/>
      <c r="L51" s="8"/>
      <c r="M51" s="8"/>
      <c r="N51" s="8"/>
    </row>
    <row r="52" spans="1:14" ht="63.05" customHeight="1" x14ac:dyDescent="0.4">
      <c r="A52" s="24"/>
      <c r="B52" s="33" t="s">
        <v>44</v>
      </c>
      <c r="C52" s="471" t="s">
        <v>186</v>
      </c>
      <c r="D52" s="472"/>
      <c r="E52" s="473"/>
      <c r="F52" s="8"/>
      <c r="G52" s="8"/>
      <c r="H52" s="8"/>
      <c r="I52" s="8"/>
      <c r="J52" s="8"/>
      <c r="K52" s="8"/>
      <c r="L52" s="8"/>
      <c r="M52" s="8"/>
      <c r="N52" s="8"/>
    </row>
    <row r="53" spans="1:14" x14ac:dyDescent="0.4">
      <c r="A53" s="29"/>
      <c r="B53" s="33" t="s">
        <v>45</v>
      </c>
      <c r="C53" s="471" t="s">
        <v>46</v>
      </c>
      <c r="D53" s="472"/>
      <c r="E53" s="473"/>
      <c r="F53" s="8"/>
      <c r="G53" s="8"/>
      <c r="H53" s="8"/>
      <c r="I53" s="8"/>
      <c r="J53" s="8"/>
      <c r="K53" s="34"/>
      <c r="L53" s="8"/>
      <c r="M53" s="8"/>
      <c r="N53" s="8"/>
    </row>
    <row r="54" spans="1:14" ht="14.35" customHeight="1" x14ac:dyDescent="0.4">
      <c r="A54" s="29"/>
      <c r="B54" s="380" t="s">
        <v>1637</v>
      </c>
      <c r="C54" s="381"/>
      <c r="D54" s="381"/>
      <c r="E54" s="382"/>
      <c r="F54" s="8"/>
      <c r="G54" s="8"/>
      <c r="H54" s="8"/>
      <c r="I54" s="8"/>
      <c r="J54" s="8"/>
      <c r="K54" s="34"/>
      <c r="L54" s="8"/>
      <c r="M54" s="8"/>
      <c r="N54" s="8"/>
    </row>
    <row r="55" spans="1:14" x14ac:dyDescent="0.4">
      <c r="A55" s="35" t="s">
        <v>47</v>
      </c>
      <c r="B55" s="392" t="s">
        <v>48</v>
      </c>
      <c r="C55" s="392"/>
      <c r="D55" s="392"/>
      <c r="E55" s="392"/>
      <c r="F55" s="63"/>
      <c r="G55" s="63"/>
      <c r="H55" s="63"/>
      <c r="I55" s="63"/>
      <c r="J55" s="63"/>
      <c r="K55" s="63"/>
      <c r="L55" s="63"/>
      <c r="M55" s="63"/>
      <c r="N55" s="63"/>
    </row>
    <row r="56" spans="1:14" x14ac:dyDescent="0.4">
      <c r="A56" s="40"/>
      <c r="B56" s="41"/>
      <c r="C56" s="42"/>
      <c r="D56" s="175"/>
      <c r="E56" s="42"/>
      <c r="F56" s="42"/>
      <c r="G56" s="230"/>
      <c r="H56" s="230"/>
      <c r="I56" s="8"/>
      <c r="J56" s="8"/>
      <c r="K56" s="8"/>
      <c r="L56" s="8"/>
      <c r="M56" s="8"/>
      <c r="N56" s="8"/>
    </row>
    <row r="57" spans="1:14" x14ac:dyDescent="0.4">
      <c r="A57" s="9">
        <v>11</v>
      </c>
      <c r="B57" s="3" t="s">
        <v>49</v>
      </c>
      <c r="C57" s="580" t="s">
        <v>851</v>
      </c>
      <c r="D57" s="580"/>
      <c r="E57" s="580"/>
      <c r="F57" s="11"/>
      <c r="G57" s="11"/>
      <c r="H57" s="43"/>
      <c r="I57" s="11"/>
      <c r="J57" s="11"/>
      <c r="K57" s="8"/>
      <c r="L57" s="8"/>
      <c r="M57" s="8"/>
      <c r="N57" s="8"/>
    </row>
    <row r="58" spans="1:14" x14ac:dyDescent="0.4">
      <c r="A58" s="9"/>
      <c r="B58" s="15"/>
      <c r="C58" s="15"/>
      <c r="D58" s="170"/>
      <c r="E58" s="15"/>
      <c r="F58" s="15"/>
      <c r="G58" s="15"/>
      <c r="H58" s="44"/>
      <c r="I58" s="44"/>
      <c r="J58" s="15"/>
      <c r="K58" s="8"/>
      <c r="L58" s="8"/>
      <c r="M58" s="8"/>
      <c r="N58" s="8"/>
    </row>
    <row r="59" spans="1:14" x14ac:dyDescent="0.4">
      <c r="A59" s="9">
        <v>12</v>
      </c>
      <c r="B59" s="11" t="s">
        <v>51</v>
      </c>
      <c r="C59" s="11"/>
      <c r="D59" s="176"/>
      <c r="E59" s="43"/>
      <c r="F59" s="43"/>
      <c r="G59" s="11"/>
      <c r="H59" s="11"/>
      <c r="I59" s="11"/>
      <c r="J59" s="11"/>
      <c r="K59" s="11"/>
      <c r="L59" s="11"/>
      <c r="M59" s="11"/>
      <c r="N59" s="11"/>
    </row>
    <row r="60" spans="1:14" x14ac:dyDescent="0.4">
      <c r="A60" s="9"/>
      <c r="B60" s="11"/>
      <c r="C60" s="11"/>
      <c r="D60" s="176"/>
      <c r="E60" s="43"/>
      <c r="F60" s="43"/>
      <c r="G60" s="43"/>
      <c r="H60" s="11"/>
      <c r="I60" s="11"/>
      <c r="J60" s="11"/>
      <c r="K60" s="11"/>
      <c r="L60" s="11"/>
      <c r="M60" s="11"/>
      <c r="N60" s="11"/>
    </row>
    <row r="61" spans="1:14" x14ac:dyDescent="0.4">
      <c r="A61" s="9"/>
      <c r="B61" s="17" t="s">
        <v>52</v>
      </c>
      <c r="C61" s="446" t="s">
        <v>1638</v>
      </c>
      <c r="D61" s="446"/>
      <c r="E61" s="446"/>
      <c r="F61" s="44"/>
      <c r="G61" s="44"/>
      <c r="H61" s="15"/>
      <c r="I61" s="15"/>
      <c r="J61" s="15"/>
      <c r="K61" s="15"/>
      <c r="L61" s="15"/>
      <c r="M61" s="15"/>
      <c r="N61" s="15"/>
    </row>
    <row r="62" spans="1:14" x14ac:dyDescent="0.4">
      <c r="A62" s="9"/>
      <c r="B62" s="15"/>
      <c r="C62" s="15"/>
      <c r="D62" s="236"/>
      <c r="E62" s="118"/>
      <c r="F62" s="15"/>
      <c r="G62" s="15"/>
      <c r="H62" s="118"/>
      <c r="I62" s="15"/>
      <c r="J62" s="118"/>
      <c r="K62" s="15"/>
      <c r="L62" s="15"/>
      <c r="M62" s="15"/>
      <c r="N62" s="15"/>
    </row>
    <row r="63" spans="1:14" x14ac:dyDescent="0.4">
      <c r="A63" s="9"/>
      <c r="B63" s="365" t="s">
        <v>53</v>
      </c>
      <c r="C63" s="366" t="s">
        <v>1639</v>
      </c>
      <c r="D63" s="558" t="s">
        <v>1640</v>
      </c>
      <c r="E63" s="403" t="s">
        <v>232</v>
      </c>
      <c r="F63" s="395" t="s">
        <v>626</v>
      </c>
      <c r="G63" s="396"/>
      <c r="H63" s="397"/>
      <c r="I63" s="398" t="s">
        <v>55</v>
      </c>
      <c r="J63" s="398"/>
      <c r="K63" s="398"/>
      <c r="L63" s="398" t="s">
        <v>56</v>
      </c>
      <c r="M63" s="398"/>
      <c r="N63" s="398"/>
    </row>
    <row r="64" spans="1:14" ht="38.450000000000003" x14ac:dyDescent="0.4">
      <c r="A64" s="2"/>
      <c r="B64" s="365"/>
      <c r="C64" s="402"/>
      <c r="D64" s="559"/>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183.75</v>
      </c>
      <c r="D65" s="101">
        <v>218.6</v>
      </c>
      <c r="E65" s="101" t="s">
        <v>1189</v>
      </c>
      <c r="F65" s="101" t="s">
        <v>41</v>
      </c>
      <c r="G65" s="101" t="s">
        <v>41</v>
      </c>
      <c r="H65" s="101" t="s">
        <v>41</v>
      </c>
      <c r="I65" s="101" t="s">
        <v>41</v>
      </c>
      <c r="J65" s="101" t="s">
        <v>41</v>
      </c>
      <c r="K65" s="101" t="s">
        <v>41</v>
      </c>
      <c r="L65" s="101" t="s">
        <v>41</v>
      </c>
      <c r="M65" s="101" t="s">
        <v>41</v>
      </c>
      <c r="N65" s="101" t="s">
        <v>41</v>
      </c>
    </row>
    <row r="66" spans="1:14" x14ac:dyDescent="0.4">
      <c r="A66" s="2"/>
      <c r="B66" s="17" t="s">
        <v>1641</v>
      </c>
      <c r="C66" s="146">
        <v>21453.1</v>
      </c>
      <c r="D66" s="55">
        <v>21571.95</v>
      </c>
      <c r="E66" s="101" t="s">
        <v>1189</v>
      </c>
      <c r="F66" s="101" t="s">
        <v>41</v>
      </c>
      <c r="G66" s="101" t="s">
        <v>41</v>
      </c>
      <c r="H66" s="101" t="s">
        <v>41</v>
      </c>
      <c r="I66" s="101" t="s">
        <v>41</v>
      </c>
      <c r="J66" s="101" t="s">
        <v>41</v>
      </c>
      <c r="K66" s="101" t="s">
        <v>41</v>
      </c>
      <c r="L66" s="101" t="s">
        <v>41</v>
      </c>
      <c r="M66" s="101" t="s">
        <v>41</v>
      </c>
      <c r="N66" s="101" t="s">
        <v>41</v>
      </c>
    </row>
    <row r="67" spans="1:14" x14ac:dyDescent="0.4">
      <c r="A67" s="2"/>
      <c r="B67" s="17" t="s">
        <v>1087</v>
      </c>
      <c r="C67" s="546" t="s">
        <v>83</v>
      </c>
      <c r="D67" s="546"/>
      <c r="E67" s="546"/>
      <c r="F67" s="546"/>
      <c r="G67" s="546"/>
      <c r="H67" s="546"/>
      <c r="I67" s="546"/>
      <c r="J67" s="546"/>
      <c r="K67" s="546"/>
      <c r="L67" s="546"/>
      <c r="M67" s="546"/>
      <c r="N67" s="546"/>
    </row>
    <row r="68" spans="1:14" s="8" customFormat="1" ht="13.25" x14ac:dyDescent="0.4">
      <c r="A68" s="2"/>
      <c r="B68" s="399" t="s">
        <v>1642</v>
      </c>
      <c r="C68" s="399"/>
      <c r="D68" s="399"/>
      <c r="E68" s="399"/>
      <c r="F68" s="399"/>
      <c r="G68" s="399"/>
      <c r="H68" s="399"/>
      <c r="I68" s="399"/>
      <c r="J68" s="399"/>
      <c r="K68" s="399"/>
      <c r="L68" s="399"/>
      <c r="M68" s="399"/>
      <c r="N68" s="399"/>
    </row>
    <row r="69" spans="1:14" x14ac:dyDescent="0.4">
      <c r="A69" s="2"/>
      <c r="B69" s="545" t="s">
        <v>94</v>
      </c>
      <c r="C69" s="545"/>
      <c r="D69" s="545"/>
      <c r="E69" s="545"/>
      <c r="F69" s="545"/>
      <c r="G69" s="545"/>
      <c r="H69" s="545"/>
      <c r="I69" s="545"/>
      <c r="J69" s="545"/>
      <c r="K69" s="545"/>
      <c r="L69" s="545"/>
      <c r="M69" s="545"/>
      <c r="N69" s="545"/>
    </row>
    <row r="70" spans="1:14" x14ac:dyDescent="0.4">
      <c r="A70" s="2"/>
      <c r="B70" s="480" t="s">
        <v>63</v>
      </c>
      <c r="C70" s="480"/>
      <c r="D70" s="480"/>
      <c r="E70" s="480"/>
      <c r="F70" s="480"/>
      <c r="G70" s="480"/>
      <c r="H70" s="480"/>
      <c r="I70" s="480"/>
      <c r="J70" s="480"/>
      <c r="K70" s="480"/>
      <c r="L70" s="480"/>
      <c r="M70" s="480"/>
      <c r="N70" s="480"/>
    </row>
    <row r="71" spans="1:14" x14ac:dyDescent="0.4">
      <c r="A71" s="1"/>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177"/>
      <c r="E74" s="49"/>
      <c r="F74" s="49"/>
      <c r="G74" s="13"/>
      <c r="H74" s="13"/>
      <c r="I74" s="13"/>
      <c r="J74" s="13"/>
      <c r="K74" s="13"/>
      <c r="L74" s="13" t="s">
        <v>693</v>
      </c>
      <c r="M74" s="13"/>
      <c r="N74" s="13"/>
    </row>
    <row r="75" spans="1:14" ht="48.05" customHeight="1" x14ac:dyDescent="0.4">
      <c r="A75" s="9">
        <v>13</v>
      </c>
      <c r="B75" s="405" t="s">
        <v>66</v>
      </c>
      <c r="C75" s="406"/>
      <c r="D75" s="406"/>
      <c r="E75" s="406"/>
      <c r="F75" s="406"/>
      <c r="G75" s="376"/>
      <c r="H75" s="11"/>
      <c r="I75" s="11"/>
      <c r="J75" s="11"/>
      <c r="K75" s="11"/>
      <c r="L75" s="11"/>
      <c r="M75" s="11"/>
      <c r="N75" s="11"/>
    </row>
    <row r="76" spans="1:14" x14ac:dyDescent="0.4">
      <c r="A76" s="9"/>
      <c r="B76" s="8"/>
      <c r="C76" s="15"/>
      <c r="D76" s="170"/>
      <c r="E76" s="15"/>
      <c r="F76" s="15"/>
      <c r="G76" s="15"/>
      <c r="H76" s="15"/>
      <c r="I76" s="15"/>
      <c r="J76" s="15"/>
      <c r="K76" s="15"/>
      <c r="L76" s="15"/>
      <c r="M76" s="15"/>
      <c r="N76" s="15"/>
    </row>
    <row r="77" spans="1:14" ht="25.65" x14ac:dyDescent="0.4">
      <c r="A77" s="2"/>
      <c r="B77" s="50" t="s">
        <v>67</v>
      </c>
      <c r="C77" s="18" t="s">
        <v>68</v>
      </c>
      <c r="D77" s="171" t="s">
        <v>1127</v>
      </c>
      <c r="E77" s="18" t="s">
        <v>218</v>
      </c>
      <c r="F77" s="18" t="s">
        <v>71</v>
      </c>
      <c r="G77" s="18" t="s">
        <v>107</v>
      </c>
      <c r="H77" s="13"/>
      <c r="I77" s="13"/>
      <c r="J77" s="13"/>
      <c r="K77" s="13"/>
      <c r="L77" s="13"/>
      <c r="M77" s="13"/>
      <c r="N77" s="13"/>
    </row>
    <row r="78" spans="1:14" ht="25.55" customHeight="1" x14ac:dyDescent="0.4">
      <c r="A78" s="2"/>
      <c r="B78" s="411" t="s">
        <v>1271</v>
      </c>
      <c r="C78" s="207" t="s">
        <v>1643</v>
      </c>
      <c r="D78" s="284">
        <v>8.84</v>
      </c>
      <c r="E78" s="435" t="s">
        <v>1603</v>
      </c>
      <c r="F78" s="435" t="s">
        <v>326</v>
      </c>
      <c r="G78" s="435" t="s">
        <v>220</v>
      </c>
      <c r="H78" s="53"/>
      <c r="I78" s="53"/>
      <c r="J78" s="53"/>
      <c r="K78" s="53"/>
      <c r="L78" s="53"/>
      <c r="M78" s="53"/>
      <c r="N78" s="53"/>
    </row>
    <row r="79" spans="1:14" x14ac:dyDescent="0.4">
      <c r="A79" s="2"/>
      <c r="B79" s="533"/>
      <c r="C79" s="207" t="s">
        <v>73</v>
      </c>
      <c r="D79" s="284"/>
      <c r="E79" s="436"/>
      <c r="F79" s="436"/>
      <c r="G79" s="436"/>
      <c r="H79" s="53"/>
      <c r="I79" s="53"/>
      <c r="J79" s="53"/>
      <c r="K79" s="53"/>
      <c r="L79" s="53"/>
      <c r="M79" s="53"/>
      <c r="N79" s="53"/>
    </row>
    <row r="80" spans="1:14" x14ac:dyDescent="0.4">
      <c r="A80" s="2"/>
      <c r="B80" s="533"/>
      <c r="C80" s="350" t="s">
        <v>1644</v>
      </c>
      <c r="D80" s="284">
        <v>5.74</v>
      </c>
      <c r="E80" s="436"/>
      <c r="F80" s="436"/>
      <c r="G80" s="436"/>
      <c r="H80" s="53"/>
      <c r="I80" s="53"/>
      <c r="J80" s="53"/>
      <c r="K80" s="53"/>
      <c r="L80" s="53"/>
      <c r="M80" s="53"/>
      <c r="N80" s="53"/>
    </row>
    <row r="81" spans="1:14" ht="26.5" x14ac:dyDescent="0.4">
      <c r="A81" s="2"/>
      <c r="B81" s="533"/>
      <c r="C81" s="350" t="s">
        <v>288</v>
      </c>
      <c r="D81" s="284">
        <v>1.1299999999999999</v>
      </c>
      <c r="E81" s="436"/>
      <c r="F81" s="436"/>
      <c r="G81" s="436"/>
      <c r="H81" s="53"/>
      <c r="I81" s="53"/>
      <c r="J81" s="53"/>
      <c r="K81" s="53"/>
      <c r="L81" s="53"/>
      <c r="M81" s="53"/>
      <c r="N81" s="53"/>
    </row>
    <row r="82" spans="1:14" x14ac:dyDescent="0.4">
      <c r="A82" s="2"/>
      <c r="B82" s="533"/>
      <c r="C82" s="350" t="s">
        <v>1058</v>
      </c>
      <c r="D82" s="284">
        <v>21.94</v>
      </c>
      <c r="E82" s="436"/>
      <c r="F82" s="436"/>
      <c r="G82" s="436"/>
      <c r="H82" s="53"/>
      <c r="I82" s="53"/>
      <c r="J82" s="53"/>
      <c r="K82" s="53"/>
      <c r="L82" s="53"/>
      <c r="M82" s="53"/>
      <c r="N82" s="53"/>
    </row>
    <row r="83" spans="1:14" ht="26.5" x14ac:dyDescent="0.4">
      <c r="A83" s="2"/>
      <c r="B83" s="533"/>
      <c r="C83" s="350" t="s">
        <v>1060</v>
      </c>
      <c r="D83" s="284">
        <v>3.47</v>
      </c>
      <c r="E83" s="436"/>
      <c r="F83" s="436"/>
      <c r="G83" s="436"/>
      <c r="H83" s="53"/>
      <c r="I83" s="53"/>
      <c r="J83" s="53"/>
      <c r="K83" s="53"/>
      <c r="L83" s="53"/>
      <c r="M83" s="53"/>
      <c r="N83" s="53"/>
    </row>
    <row r="84" spans="1:14" x14ac:dyDescent="0.4">
      <c r="A84" s="2"/>
      <c r="B84" s="534"/>
      <c r="C84" s="207" t="s">
        <v>74</v>
      </c>
      <c r="D84" s="284">
        <v>8.07</v>
      </c>
      <c r="E84" s="436"/>
      <c r="F84" s="436"/>
      <c r="G84" s="436"/>
      <c r="H84" s="53"/>
      <c r="I84" s="53"/>
      <c r="J84" s="53"/>
      <c r="K84" s="53"/>
      <c r="L84" s="53"/>
      <c r="M84" s="53"/>
      <c r="N84" s="53"/>
    </row>
    <row r="85" spans="1:14" x14ac:dyDescent="0.4">
      <c r="A85" s="2"/>
      <c r="B85" s="411" t="s">
        <v>75</v>
      </c>
      <c r="C85" s="207" t="s">
        <v>1643</v>
      </c>
      <c r="D85" s="284">
        <v>14.14</v>
      </c>
      <c r="E85" s="436"/>
      <c r="F85" s="436"/>
      <c r="G85" s="436"/>
      <c r="H85" s="53"/>
      <c r="I85" s="53"/>
      <c r="J85" s="53"/>
      <c r="K85" s="53"/>
      <c r="L85" s="53"/>
      <c r="M85" s="53"/>
      <c r="N85" s="53"/>
    </row>
    <row r="86" spans="1:14" x14ac:dyDescent="0.4">
      <c r="A86" s="2"/>
      <c r="B86" s="533"/>
      <c r="C86" s="207" t="s">
        <v>73</v>
      </c>
      <c r="D86" s="284"/>
      <c r="E86" s="436"/>
      <c r="F86" s="436"/>
      <c r="G86" s="436"/>
      <c r="H86" s="53"/>
      <c r="I86" s="53"/>
      <c r="J86" s="53"/>
      <c r="K86" s="53"/>
      <c r="L86" s="53"/>
      <c r="M86" s="53"/>
      <c r="N86" s="53"/>
    </row>
    <row r="87" spans="1:14" x14ac:dyDescent="0.4">
      <c r="A87" s="2"/>
      <c r="B87" s="533"/>
      <c r="C87" s="350" t="s">
        <v>1644</v>
      </c>
      <c r="D87" s="284">
        <v>16.64</v>
      </c>
      <c r="E87" s="436"/>
      <c r="F87" s="436"/>
      <c r="G87" s="436"/>
      <c r="H87" s="53"/>
      <c r="I87" s="53"/>
      <c r="J87" s="53"/>
      <c r="K87" s="53"/>
      <c r="L87" s="53"/>
      <c r="M87" s="53"/>
      <c r="N87" s="53"/>
    </row>
    <row r="88" spans="1:14" ht="26.5" x14ac:dyDescent="0.4">
      <c r="A88" s="2"/>
      <c r="B88" s="533"/>
      <c r="C88" s="350" t="s">
        <v>288</v>
      </c>
      <c r="D88" s="284">
        <v>14.07</v>
      </c>
      <c r="E88" s="436"/>
      <c r="F88" s="436"/>
      <c r="G88" s="436"/>
      <c r="H88" s="53"/>
      <c r="I88" s="53"/>
      <c r="J88" s="53"/>
      <c r="K88" s="53"/>
      <c r="L88" s="53"/>
      <c r="M88" s="53"/>
      <c r="N88" s="53"/>
    </row>
    <row r="89" spans="1:14" x14ac:dyDescent="0.4">
      <c r="A89" s="2"/>
      <c r="B89" s="533"/>
      <c r="C89" s="350" t="s">
        <v>1058</v>
      </c>
      <c r="D89" s="284">
        <v>18.12</v>
      </c>
      <c r="E89" s="436"/>
      <c r="F89" s="436"/>
      <c r="G89" s="436"/>
      <c r="H89" s="53"/>
      <c r="I89" s="53"/>
      <c r="J89" s="53"/>
      <c r="K89" s="53"/>
      <c r="L89" s="53"/>
      <c r="M89" s="53"/>
      <c r="N89" s="53"/>
    </row>
    <row r="90" spans="1:14" ht="26.5" x14ac:dyDescent="0.4">
      <c r="A90" s="2"/>
      <c r="B90" s="533"/>
      <c r="C90" s="350" t="s">
        <v>1060</v>
      </c>
      <c r="D90" s="284">
        <v>78.7</v>
      </c>
      <c r="E90" s="436"/>
      <c r="F90" s="436"/>
      <c r="G90" s="436"/>
      <c r="H90" s="53"/>
      <c r="I90" s="53"/>
      <c r="J90" s="53"/>
      <c r="K90" s="53"/>
      <c r="L90" s="53"/>
      <c r="M90" s="53"/>
      <c r="N90" s="53"/>
    </row>
    <row r="91" spans="1:14" x14ac:dyDescent="0.4">
      <c r="A91" s="2"/>
      <c r="B91" s="534"/>
      <c r="C91" s="207" t="s">
        <v>74</v>
      </c>
      <c r="D91" s="284">
        <v>31.88</v>
      </c>
      <c r="E91" s="436"/>
      <c r="F91" s="436"/>
      <c r="G91" s="436"/>
      <c r="H91" s="53"/>
      <c r="I91" s="53"/>
      <c r="J91" s="53"/>
      <c r="K91" s="53"/>
      <c r="L91" s="53"/>
      <c r="M91" s="53"/>
      <c r="N91" s="53"/>
    </row>
    <row r="92" spans="1:14" x14ac:dyDescent="0.4">
      <c r="A92" s="2"/>
      <c r="B92" s="411" t="s">
        <v>76</v>
      </c>
      <c r="C92" s="207" t="s">
        <v>1643</v>
      </c>
      <c r="D92" s="284">
        <v>24.41</v>
      </c>
      <c r="E92" s="436"/>
      <c r="F92" s="436"/>
      <c r="G92" s="436"/>
      <c r="H92" s="53"/>
      <c r="I92" s="53"/>
      <c r="J92" s="53"/>
      <c r="K92" s="53"/>
      <c r="L92" s="53"/>
      <c r="M92" s="53"/>
      <c r="N92" s="53"/>
    </row>
    <row r="93" spans="1:14" x14ac:dyDescent="0.4">
      <c r="A93" s="2"/>
      <c r="B93" s="533"/>
      <c r="C93" s="207" t="s">
        <v>73</v>
      </c>
      <c r="D93" s="284"/>
      <c r="E93" s="436"/>
      <c r="F93" s="436"/>
      <c r="G93" s="436"/>
      <c r="H93" s="53"/>
      <c r="I93" s="53"/>
      <c r="J93" s="53"/>
      <c r="K93" s="53"/>
      <c r="L93" s="53"/>
      <c r="M93" s="53"/>
      <c r="N93" s="53"/>
    </row>
    <row r="94" spans="1:14" x14ac:dyDescent="0.4">
      <c r="A94" s="2"/>
      <c r="B94" s="533"/>
      <c r="C94" s="350" t="s">
        <v>1644</v>
      </c>
      <c r="D94" s="284">
        <v>18.45</v>
      </c>
      <c r="E94" s="436"/>
      <c r="F94" s="436"/>
      <c r="G94" s="436"/>
      <c r="H94" s="53"/>
      <c r="I94" s="53"/>
      <c r="J94" s="53"/>
      <c r="K94" s="53"/>
      <c r="L94" s="53"/>
      <c r="M94" s="53"/>
      <c r="N94" s="53"/>
    </row>
    <row r="95" spans="1:14" ht="26.5" x14ac:dyDescent="0.4">
      <c r="A95" s="2"/>
      <c r="B95" s="533"/>
      <c r="C95" s="350" t="s">
        <v>288</v>
      </c>
      <c r="D95" s="284">
        <v>4.16</v>
      </c>
      <c r="E95" s="436"/>
      <c r="F95" s="436"/>
      <c r="G95" s="436"/>
      <c r="H95" s="53"/>
      <c r="I95" s="53"/>
      <c r="J95" s="53"/>
      <c r="K95" s="53"/>
      <c r="L95" s="53"/>
      <c r="M95" s="53"/>
      <c r="N95" s="53"/>
    </row>
    <row r="96" spans="1:14" x14ac:dyDescent="0.4">
      <c r="A96" s="2"/>
      <c r="B96" s="533"/>
      <c r="C96" s="350" t="s">
        <v>1058</v>
      </c>
      <c r="D96" s="284">
        <v>23.78</v>
      </c>
      <c r="E96" s="436"/>
      <c r="F96" s="436"/>
      <c r="G96" s="436"/>
      <c r="H96" s="53"/>
      <c r="I96" s="53"/>
      <c r="J96" s="53"/>
      <c r="K96" s="53"/>
      <c r="L96" s="53"/>
      <c r="M96" s="53"/>
      <c r="N96" s="53"/>
    </row>
    <row r="97" spans="1:14" ht="26.5" x14ac:dyDescent="0.4">
      <c r="A97" s="2"/>
      <c r="B97" s="533"/>
      <c r="C97" s="350" t="s">
        <v>1060</v>
      </c>
      <c r="D97" s="284">
        <v>6.75</v>
      </c>
      <c r="E97" s="436"/>
      <c r="F97" s="436"/>
      <c r="G97" s="436"/>
      <c r="H97" s="53"/>
      <c r="I97" s="53"/>
      <c r="J97" s="53"/>
      <c r="K97" s="53"/>
      <c r="L97" s="53"/>
      <c r="M97" s="53"/>
      <c r="N97" s="53"/>
    </row>
    <row r="98" spans="1:14" x14ac:dyDescent="0.4">
      <c r="A98" s="2"/>
      <c r="B98" s="534"/>
      <c r="C98" s="207" t="s">
        <v>74</v>
      </c>
      <c r="D98" s="284">
        <v>13.29</v>
      </c>
      <c r="E98" s="436"/>
      <c r="F98" s="436"/>
      <c r="G98" s="436"/>
      <c r="H98" s="53"/>
      <c r="I98" s="53"/>
      <c r="J98" s="53"/>
      <c r="K98" s="53"/>
      <c r="L98" s="53"/>
      <c r="M98" s="53"/>
      <c r="N98" s="53"/>
    </row>
    <row r="99" spans="1:14" x14ac:dyDescent="0.4">
      <c r="A99" s="2"/>
      <c r="B99" s="603" t="s">
        <v>77</v>
      </c>
      <c r="C99" s="207" t="s">
        <v>1643</v>
      </c>
      <c r="D99" s="284">
        <v>36.22</v>
      </c>
      <c r="E99" s="436"/>
      <c r="F99" s="436"/>
      <c r="G99" s="436"/>
      <c r="H99" s="53"/>
      <c r="I99" s="53"/>
      <c r="J99" s="53"/>
      <c r="K99" s="53"/>
      <c r="L99" s="53"/>
      <c r="M99" s="53"/>
      <c r="N99" s="53"/>
    </row>
    <row r="100" spans="1:14" x14ac:dyDescent="0.4">
      <c r="A100" s="2"/>
      <c r="B100" s="604"/>
      <c r="C100" s="207" t="s">
        <v>73</v>
      </c>
      <c r="D100" s="284"/>
      <c r="E100" s="436"/>
      <c r="F100" s="436"/>
      <c r="G100" s="436"/>
      <c r="H100" s="53"/>
      <c r="I100" s="53"/>
      <c r="J100" s="53"/>
      <c r="K100" s="53"/>
      <c r="L100" s="53"/>
      <c r="M100" s="53"/>
      <c r="N100" s="53"/>
    </row>
    <row r="101" spans="1:14" x14ac:dyDescent="0.4">
      <c r="A101" s="2"/>
      <c r="B101" s="604"/>
      <c r="C101" s="350" t="s">
        <v>1644</v>
      </c>
      <c r="D101" s="284">
        <v>31.14</v>
      </c>
      <c r="E101" s="436"/>
      <c r="F101" s="436"/>
      <c r="G101" s="436"/>
      <c r="H101" s="53"/>
      <c r="I101" s="53"/>
      <c r="J101" s="53"/>
      <c r="K101" s="53"/>
      <c r="L101" s="53"/>
      <c r="M101" s="53"/>
      <c r="N101" s="53"/>
    </row>
    <row r="102" spans="1:14" ht="26.5" x14ac:dyDescent="0.4">
      <c r="A102" s="2"/>
      <c r="B102" s="604"/>
      <c r="C102" s="350" t="s">
        <v>288</v>
      </c>
      <c r="D102" s="284">
        <v>17.82</v>
      </c>
      <c r="E102" s="436"/>
      <c r="F102" s="436"/>
      <c r="G102" s="436"/>
      <c r="H102" s="53"/>
      <c r="I102" s="53"/>
      <c r="J102" s="53"/>
      <c r="K102" s="53"/>
      <c r="L102" s="53"/>
      <c r="M102" s="53"/>
      <c r="N102" s="53"/>
    </row>
    <row r="103" spans="1:14" x14ac:dyDescent="0.4">
      <c r="A103" s="2"/>
      <c r="B103" s="604"/>
      <c r="C103" s="350" t="s">
        <v>1058</v>
      </c>
      <c r="D103" s="284">
        <v>92.34</v>
      </c>
      <c r="E103" s="436"/>
      <c r="F103" s="436"/>
      <c r="G103" s="436"/>
      <c r="H103" s="53"/>
      <c r="I103" s="53"/>
      <c r="J103" s="53"/>
      <c r="K103" s="53"/>
      <c r="L103" s="53"/>
      <c r="M103" s="53"/>
      <c r="N103" s="53"/>
    </row>
    <row r="104" spans="1:14" ht="26.5" x14ac:dyDescent="0.4">
      <c r="A104" s="2"/>
      <c r="B104" s="604"/>
      <c r="C104" s="350" t="s">
        <v>1060</v>
      </c>
      <c r="D104" s="284">
        <v>48.14</v>
      </c>
      <c r="E104" s="436"/>
      <c r="F104" s="436"/>
      <c r="G104" s="436"/>
      <c r="H104" s="53"/>
      <c r="I104" s="53"/>
      <c r="J104" s="53"/>
      <c r="K104" s="53"/>
      <c r="L104" s="53"/>
      <c r="M104" s="53"/>
      <c r="N104" s="53"/>
    </row>
    <row r="105" spans="1:14" ht="15.05" customHeight="1" x14ac:dyDescent="0.4">
      <c r="A105" s="2"/>
      <c r="B105" s="604"/>
      <c r="C105" s="3" t="s">
        <v>74</v>
      </c>
      <c r="D105" s="284">
        <v>47.36</v>
      </c>
      <c r="E105" s="547"/>
      <c r="F105" s="547"/>
      <c r="G105" s="547"/>
      <c r="H105" s="53"/>
      <c r="I105" s="53"/>
      <c r="J105" s="53"/>
      <c r="K105" s="53"/>
      <c r="L105" s="53"/>
      <c r="M105" s="53"/>
      <c r="N105" s="53"/>
    </row>
    <row r="106" spans="1:14" ht="15.8" customHeight="1" x14ac:dyDescent="0.4">
      <c r="A106" s="8"/>
      <c r="B106" s="630" t="s">
        <v>1645</v>
      </c>
      <c r="C106" s="630"/>
      <c r="D106" s="630"/>
      <c r="E106" s="630"/>
      <c r="F106" s="630"/>
      <c r="G106" s="630"/>
      <c r="H106" s="53"/>
      <c r="I106" s="53"/>
      <c r="J106" s="8"/>
      <c r="K106" s="8"/>
      <c r="L106" s="8"/>
      <c r="M106" s="8"/>
      <c r="N106" s="8"/>
    </row>
    <row r="107" spans="1:14" x14ac:dyDescent="0.4">
      <c r="A107" s="9"/>
      <c r="B107" s="631"/>
      <c r="C107" s="631"/>
      <c r="D107" s="631"/>
      <c r="E107" s="631"/>
      <c r="F107" s="631"/>
      <c r="G107" s="631"/>
      <c r="H107" s="8"/>
      <c r="I107" s="8"/>
      <c r="J107" s="8"/>
      <c r="K107" s="8"/>
      <c r="L107" s="8"/>
      <c r="M107" s="8"/>
      <c r="N107" s="8"/>
    </row>
    <row r="108" spans="1:14" x14ac:dyDescent="0.4">
      <c r="A108" s="2">
        <v>14</v>
      </c>
      <c r="B108" s="61" t="s">
        <v>78</v>
      </c>
      <c r="C108" s="497" t="s">
        <v>41</v>
      </c>
      <c r="D108" s="497"/>
      <c r="E108" s="497"/>
      <c r="F108" s="497"/>
      <c r="G108" s="497"/>
      <c r="H108" s="8"/>
      <c r="I108" s="8"/>
      <c r="J108" s="8"/>
      <c r="K108" s="8"/>
      <c r="L108" s="8"/>
      <c r="M108" s="8"/>
      <c r="N108" s="8"/>
    </row>
    <row r="109" spans="1:14" x14ac:dyDescent="0.4">
      <c r="A109" s="8"/>
      <c r="B109" s="8"/>
      <c r="C109" s="10"/>
      <c r="D109" s="208"/>
      <c r="E109" s="200"/>
      <c r="F109" s="200"/>
      <c r="G109" s="200"/>
      <c r="H109" s="8"/>
      <c r="I109" s="8"/>
      <c r="J109" s="8"/>
      <c r="K109" s="8"/>
      <c r="L109" s="8"/>
      <c r="M109" s="8"/>
      <c r="N109" s="8"/>
    </row>
    <row r="110" spans="1:14" x14ac:dyDescent="0.4">
      <c r="A110" s="8"/>
      <c r="B110" s="8"/>
      <c r="C110" s="8"/>
      <c r="D110" s="208"/>
      <c r="H110" s="8"/>
      <c r="I110" s="8"/>
      <c r="J110" s="8"/>
      <c r="K110" s="8"/>
      <c r="L110" s="8"/>
      <c r="M110" s="8"/>
      <c r="N110" s="8"/>
    </row>
    <row r="111" spans="1:14" ht="15.05" customHeight="1" x14ac:dyDescent="0.4">
      <c r="A111" s="8"/>
      <c r="B111" s="8"/>
      <c r="C111" s="8"/>
      <c r="D111" s="167"/>
      <c r="H111" s="200"/>
      <c r="I111" s="8"/>
      <c r="J111" s="8"/>
      <c r="K111" s="8"/>
      <c r="L111" s="8"/>
      <c r="M111" s="8"/>
      <c r="N111" s="8"/>
    </row>
    <row r="112" spans="1:14" ht="15.05" customHeight="1" x14ac:dyDescent="0.4">
      <c r="B112" s="538" t="s">
        <v>1646</v>
      </c>
      <c r="C112" s="538"/>
      <c r="D112" s="538"/>
      <c r="E112" s="538"/>
      <c r="F112" s="538"/>
      <c r="G112" s="538"/>
    </row>
    <row r="113" spans="3:4" x14ac:dyDescent="0.4">
      <c r="C113" s="228"/>
      <c r="D113" s="228"/>
    </row>
    <row r="114" spans="3:4" x14ac:dyDescent="0.4">
      <c r="C114" s="238"/>
    </row>
    <row r="115" spans="3:4" x14ac:dyDescent="0.4">
      <c r="C115" s="228"/>
      <c r="D115" s="228"/>
    </row>
    <row r="116" spans="3:4" x14ac:dyDescent="0.4">
      <c r="C116" s="228"/>
    </row>
  </sheetData>
  <sheetProtection algorithmName="SHA-512" hashValue="g9s3anmkbjYCVNwDkujjjbYJ5jp6foB3K4hyvZyYz1DaZMBf1/7/bEyGVsfXejHh5+QmTtShFAZ8XC7wGHfyFQ==" saltValue="L4EGk2R2gxn38VvCwtYvpg==" spinCount="100000" sheet="1" objects="1" scenarios="1"/>
  <mergeCells count="68">
    <mergeCell ref="B9:E9"/>
    <mergeCell ref="A1:B1"/>
    <mergeCell ref="C3:E3"/>
    <mergeCell ref="C5:E5"/>
    <mergeCell ref="B6:E6"/>
    <mergeCell ref="C8:E8"/>
    <mergeCell ref="B25:E25"/>
    <mergeCell ref="C11:E11"/>
    <mergeCell ref="B12:E12"/>
    <mergeCell ref="C14:E14"/>
    <mergeCell ref="B15:E15"/>
    <mergeCell ref="B17:E17"/>
    <mergeCell ref="C18:E18"/>
    <mergeCell ref="C19:E19"/>
    <mergeCell ref="C20:E20"/>
    <mergeCell ref="C21:E21"/>
    <mergeCell ref="C22:E22"/>
    <mergeCell ref="B24:E24"/>
    <mergeCell ref="C41:E41"/>
    <mergeCell ref="C27:C30"/>
    <mergeCell ref="D27:D30"/>
    <mergeCell ref="E27:E30"/>
    <mergeCell ref="B31:E31"/>
    <mergeCell ref="B33:E33"/>
    <mergeCell ref="C34:E34"/>
    <mergeCell ref="C35:E35"/>
    <mergeCell ref="C36:E36"/>
    <mergeCell ref="B38:E38"/>
    <mergeCell ref="C39:E39"/>
    <mergeCell ref="C40:E40"/>
    <mergeCell ref="C61:E61"/>
    <mergeCell ref="B42:E42"/>
    <mergeCell ref="B44:E44"/>
    <mergeCell ref="B47:E47"/>
    <mergeCell ref="B49:E49"/>
    <mergeCell ref="B50:B51"/>
    <mergeCell ref="C50:E51"/>
    <mergeCell ref="C52:E52"/>
    <mergeCell ref="C53:E53"/>
    <mergeCell ref="B54:E54"/>
    <mergeCell ref="B55:E55"/>
    <mergeCell ref="C57:E57"/>
    <mergeCell ref="B71:N71"/>
    <mergeCell ref="B63:B64"/>
    <mergeCell ref="C63:C64"/>
    <mergeCell ref="D63:D64"/>
    <mergeCell ref="E63:E64"/>
    <mergeCell ref="F63:H63"/>
    <mergeCell ref="I63:K63"/>
    <mergeCell ref="L63:N63"/>
    <mergeCell ref="C67:N67"/>
    <mergeCell ref="B68:N68"/>
    <mergeCell ref="B69:N69"/>
    <mergeCell ref="B70:N70"/>
    <mergeCell ref="B106:G106"/>
    <mergeCell ref="B107:G107"/>
    <mergeCell ref="C108:G108"/>
    <mergeCell ref="B112:G112"/>
    <mergeCell ref="B72:N72"/>
    <mergeCell ref="B73:N73"/>
    <mergeCell ref="B75:G75"/>
    <mergeCell ref="B78:B84"/>
    <mergeCell ref="E78:E105"/>
    <mergeCell ref="F78:F105"/>
    <mergeCell ref="G78:G105"/>
    <mergeCell ref="B85:B91"/>
    <mergeCell ref="B92:B98"/>
    <mergeCell ref="B99:B105"/>
  </mergeCells>
  <pageMargins left="0.7" right="0.7" top="0.75" bottom="0.75" header="0.3" footer="0.3"/>
  <pageSetup paperSize="8" orientation="landscape" verticalDpi="300" r:id="rId1"/>
  <rowBreaks count="2" manualBreakCount="2">
    <brk id="36" max="16383" man="1"/>
    <brk id="58" max="1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7D0C1-38D5-4988-9ACD-FE2DCC83784B}">
  <dimension ref="A1:N108"/>
  <sheetViews>
    <sheetView view="pageBreakPreview" zoomScale="60" zoomScaleNormal="100" workbookViewId="0">
      <selection activeCell="B61" sqref="B61:E61"/>
    </sheetView>
  </sheetViews>
  <sheetFormatPr defaultColWidth="9.07421875" defaultRowHeight="14.6" x14ac:dyDescent="0.4"/>
  <cols>
    <col min="1" max="1" width="6.4609375" bestFit="1" customWidth="1"/>
    <col min="2" max="2" width="49.53515625" customWidth="1"/>
    <col min="3" max="3" width="19.53515625" customWidth="1"/>
    <col min="4" max="4" width="18.07421875" customWidth="1"/>
    <col min="5" max="5" width="18.69140625" customWidth="1"/>
    <col min="6" max="6" width="9.3046875" bestFit="1" customWidth="1"/>
    <col min="8" max="8" width="10" bestFit="1" customWidth="1"/>
    <col min="9" max="9" width="11.46093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1544</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1545</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40.7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1623</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605">
        <v>12.61</v>
      </c>
      <c r="D18" s="606"/>
      <c r="E18" s="607"/>
      <c r="F18" s="15"/>
      <c r="G18" s="13"/>
      <c r="H18" s="13"/>
      <c r="I18" s="13"/>
      <c r="J18" s="13"/>
      <c r="K18" s="13"/>
      <c r="L18" s="13"/>
      <c r="M18" s="13"/>
      <c r="N18" s="13"/>
    </row>
    <row r="19" spans="1:14" ht="25.65" x14ac:dyDescent="0.4">
      <c r="A19" s="9"/>
      <c r="B19" s="14" t="s">
        <v>1517</v>
      </c>
      <c r="C19" s="605" t="s">
        <v>1516</v>
      </c>
      <c r="D19" s="606"/>
      <c r="E19" s="607"/>
      <c r="F19" s="15"/>
      <c r="G19" s="13" t="s">
        <v>693</v>
      </c>
      <c r="H19" s="8"/>
      <c r="I19" s="13"/>
      <c r="J19" s="13"/>
      <c r="K19" s="13"/>
      <c r="L19" s="13"/>
      <c r="M19" s="13"/>
      <c r="N19" s="13"/>
    </row>
    <row r="20" spans="1:14" x14ac:dyDescent="0.4">
      <c r="A20" s="9"/>
      <c r="B20" s="14" t="s">
        <v>605</v>
      </c>
      <c r="C20" s="446" t="s">
        <v>319</v>
      </c>
      <c r="D20" s="446"/>
      <c r="E20" s="446"/>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c r="B38" s="15"/>
      <c r="C38" s="13"/>
      <c r="D38" s="169"/>
      <c r="E38" s="13"/>
      <c r="F38" s="13"/>
      <c r="G38" s="8"/>
      <c r="H38" s="8"/>
      <c r="I38" s="8"/>
      <c r="J38" s="8"/>
      <c r="K38" s="8"/>
      <c r="L38" s="8"/>
      <c r="M38" s="8"/>
      <c r="N38" s="8"/>
    </row>
    <row r="39" spans="1:14" x14ac:dyDescent="0.4">
      <c r="A39" s="9">
        <v>8</v>
      </c>
      <c r="B39" s="365" t="s">
        <v>1084</v>
      </c>
      <c r="C39" s="365"/>
      <c r="D39" s="365"/>
      <c r="E39" s="365"/>
      <c r="F39" s="11"/>
      <c r="G39" s="11"/>
      <c r="H39" s="11"/>
      <c r="I39" s="11"/>
      <c r="J39" s="11"/>
      <c r="K39" s="8"/>
      <c r="L39" s="8"/>
      <c r="M39" s="8"/>
      <c r="N39" s="8"/>
    </row>
    <row r="40" spans="1:14" ht="15.05" customHeight="1" x14ac:dyDescent="0.4">
      <c r="A40" s="9"/>
      <c r="B40" s="17" t="s">
        <v>34</v>
      </c>
      <c r="C40" s="373" t="s">
        <v>319</v>
      </c>
      <c r="D40" s="374"/>
      <c r="E40" s="375"/>
      <c r="F40" s="13"/>
      <c r="G40" s="8"/>
      <c r="H40" s="8"/>
      <c r="I40" s="8"/>
      <c r="J40" s="8"/>
      <c r="K40" s="8"/>
      <c r="L40" s="8"/>
      <c r="M40" s="8"/>
      <c r="N40" s="8"/>
    </row>
    <row r="41" spans="1:14" x14ac:dyDescent="0.4">
      <c r="A41" s="9"/>
      <c r="B41" s="17" t="s">
        <v>31</v>
      </c>
      <c r="C41" s="373" t="s">
        <v>320</v>
      </c>
      <c r="D41" s="374"/>
      <c r="E41" s="375"/>
      <c r="F41" s="13"/>
      <c r="G41" s="8"/>
      <c r="H41" s="8"/>
      <c r="I41" s="8"/>
      <c r="J41" s="8"/>
      <c r="K41" s="8"/>
      <c r="L41" s="8"/>
      <c r="M41" s="8"/>
      <c r="N41" s="8"/>
    </row>
    <row r="42" spans="1:14" x14ac:dyDescent="0.4">
      <c r="A42" s="9"/>
      <c r="B42" s="17" t="s">
        <v>32</v>
      </c>
      <c r="C42" s="446" t="s">
        <v>201</v>
      </c>
      <c r="D42" s="446"/>
      <c r="E42" s="446"/>
      <c r="F42" s="13"/>
      <c r="G42" s="8"/>
      <c r="H42" s="8"/>
      <c r="I42" s="8"/>
      <c r="J42" s="8"/>
      <c r="K42" s="8"/>
      <c r="L42" s="8"/>
      <c r="M42" s="8"/>
      <c r="N42" s="8"/>
    </row>
    <row r="43" spans="1:14" x14ac:dyDescent="0.4">
      <c r="A43" s="9"/>
      <c r="B43" s="363" t="s">
        <v>848</v>
      </c>
      <c r="C43" s="368"/>
      <c r="D43" s="368"/>
      <c r="E43" s="369"/>
      <c r="F43" s="13"/>
      <c r="G43" s="8"/>
      <c r="H43" s="8"/>
      <c r="I43" s="8"/>
      <c r="J43" s="8"/>
      <c r="K43" s="8"/>
      <c r="L43" s="8"/>
      <c r="M43" s="8"/>
      <c r="N43" s="8"/>
    </row>
    <row r="44" spans="1:14" x14ac:dyDescent="0.4">
      <c r="A44" s="2"/>
      <c r="B44" s="8"/>
      <c r="C44" s="8"/>
      <c r="D44" s="173"/>
      <c r="E44" s="13"/>
      <c r="F44" s="8"/>
      <c r="G44" s="8"/>
      <c r="H44" s="8"/>
      <c r="I44" s="8"/>
      <c r="J44" s="8"/>
      <c r="K44" s="8"/>
      <c r="L44" s="8"/>
      <c r="M44" s="8"/>
      <c r="N44" s="8"/>
    </row>
    <row r="45" spans="1:14" x14ac:dyDescent="0.4">
      <c r="A45" s="24">
        <v>9</v>
      </c>
      <c r="B45" s="376" t="s">
        <v>1085</v>
      </c>
      <c r="C45" s="365"/>
      <c r="D45" s="365"/>
      <c r="E45" s="365"/>
      <c r="F45" s="25"/>
      <c r="G45" s="11"/>
      <c r="H45" s="11"/>
      <c r="I45" s="11"/>
      <c r="J45" s="8"/>
      <c r="K45" s="8"/>
      <c r="L45" s="8"/>
      <c r="M45" s="8"/>
      <c r="N45" s="8"/>
    </row>
    <row r="46" spans="1:14" ht="38.450000000000003" x14ac:dyDescent="0.4">
      <c r="A46" s="24"/>
      <c r="B46" s="26" t="s">
        <v>37</v>
      </c>
      <c r="C46" s="27" t="s">
        <v>38</v>
      </c>
      <c r="D46" s="174" t="s">
        <v>39</v>
      </c>
      <c r="E46" s="27" t="s">
        <v>206</v>
      </c>
      <c r="F46" s="8"/>
      <c r="G46" s="8"/>
      <c r="H46" s="8"/>
      <c r="I46" s="8"/>
      <c r="J46" s="8"/>
      <c r="K46" s="8"/>
      <c r="L46" s="8"/>
      <c r="M46" s="8"/>
      <c r="N46" s="8"/>
    </row>
    <row r="47" spans="1:14" ht="92.8" x14ac:dyDescent="0.4">
      <c r="A47" s="29"/>
      <c r="B47" s="78" t="s">
        <v>1546</v>
      </c>
      <c r="C47" s="78" t="s">
        <v>1547</v>
      </c>
      <c r="D47" s="78" t="s">
        <v>1548</v>
      </c>
      <c r="E47" s="117" t="s">
        <v>83</v>
      </c>
      <c r="F47" s="8"/>
      <c r="G47" s="8"/>
      <c r="H47" s="8"/>
      <c r="I47" s="8"/>
      <c r="J47" s="8"/>
      <c r="K47" s="8"/>
      <c r="L47" s="8"/>
      <c r="M47" s="8"/>
      <c r="N47" s="8"/>
    </row>
    <row r="48" spans="1:14" x14ac:dyDescent="0.4">
      <c r="A48" s="31"/>
      <c r="B48" s="380" t="s">
        <v>1565</v>
      </c>
      <c r="C48" s="381"/>
      <c r="D48" s="381"/>
      <c r="E48" s="382"/>
      <c r="F48" s="15"/>
      <c r="G48" s="15"/>
      <c r="H48" s="15"/>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28.85" customHeight="1" x14ac:dyDescent="0.4">
      <c r="A51" s="29"/>
      <c r="B51" s="383" t="s">
        <v>43</v>
      </c>
      <c r="C51" s="581" t="s">
        <v>1547</v>
      </c>
      <c r="D51" s="582"/>
      <c r="E51" s="583"/>
      <c r="F51" s="8"/>
      <c r="G51" s="8"/>
      <c r="H51" s="8"/>
      <c r="I51" s="8"/>
      <c r="J51" s="8"/>
      <c r="K51" s="1"/>
      <c r="L51" s="8"/>
      <c r="M51" s="8"/>
      <c r="N51" s="8"/>
    </row>
    <row r="52" spans="1:14" ht="12.05" customHeight="1" x14ac:dyDescent="0.4">
      <c r="A52" s="29"/>
      <c r="B52" s="384"/>
      <c r="C52" s="584"/>
      <c r="D52" s="585"/>
      <c r="E52" s="586"/>
      <c r="F52" s="8"/>
      <c r="G52" s="8"/>
      <c r="H52" s="8"/>
      <c r="I52" s="8"/>
      <c r="J52" s="8"/>
      <c r="K52" s="1"/>
      <c r="L52" s="8"/>
      <c r="M52" s="8"/>
      <c r="N52" s="8"/>
    </row>
    <row r="53" spans="1:14" ht="42.65" customHeight="1" x14ac:dyDescent="0.4">
      <c r="A53" s="24"/>
      <c r="B53" s="33" t="s">
        <v>1549</v>
      </c>
      <c r="C53" s="391" t="s">
        <v>1548</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x14ac:dyDescent="0.4">
      <c r="A55" s="29"/>
      <c r="B55" s="380" t="s">
        <v>1565</v>
      </c>
      <c r="C55" s="381"/>
      <c r="D55" s="381"/>
      <c r="E55" s="382"/>
      <c r="F55" s="8"/>
      <c r="G55" s="8"/>
      <c r="H55" s="8"/>
      <c r="I55" s="8"/>
      <c r="J55" s="8"/>
      <c r="K55" s="34"/>
      <c r="L55" s="8"/>
      <c r="M55" s="8"/>
      <c r="N55" s="8"/>
    </row>
    <row r="56" spans="1:14" x14ac:dyDescent="0.4">
      <c r="A56" s="35" t="s">
        <v>47</v>
      </c>
      <c r="B56" s="392" t="s">
        <v>48</v>
      </c>
      <c r="C56" s="392"/>
      <c r="D56" s="392"/>
      <c r="E56" s="392"/>
      <c r="F56" s="63"/>
      <c r="G56" s="63"/>
      <c r="H56" s="296"/>
      <c r="I56" s="63"/>
      <c r="J56" s="63"/>
      <c r="K56" s="63"/>
      <c r="L56" s="63"/>
      <c r="M56" s="63"/>
      <c r="N56" s="63"/>
    </row>
    <row r="57" spans="1:14" x14ac:dyDescent="0.4">
      <c r="A57" s="40"/>
      <c r="B57" s="41"/>
      <c r="C57" s="42"/>
      <c r="D57" s="175"/>
      <c r="E57" s="42"/>
      <c r="F57" s="42"/>
      <c r="G57" s="8"/>
      <c r="H57" s="230"/>
      <c r="I57" s="8"/>
      <c r="J57" s="8"/>
      <c r="K57" s="8"/>
      <c r="L57" s="8"/>
      <c r="M57" s="8"/>
      <c r="N57" s="8"/>
    </row>
    <row r="58" spans="1:14" x14ac:dyDescent="0.4">
      <c r="A58" s="9">
        <v>11</v>
      </c>
      <c r="B58" s="3" t="s">
        <v>49</v>
      </c>
      <c r="C58" s="580" t="s">
        <v>851</v>
      </c>
      <c r="D58" s="580"/>
      <c r="E58" s="580"/>
      <c r="F58" s="11"/>
      <c r="G58" s="11"/>
      <c r="H58" s="43"/>
      <c r="I58" s="11"/>
      <c r="J58" s="11"/>
      <c r="K58" s="8"/>
      <c r="L58" s="8"/>
      <c r="M58" s="8"/>
      <c r="N58" s="8"/>
    </row>
    <row r="59" spans="1:14" x14ac:dyDescent="0.4">
      <c r="A59" s="9"/>
      <c r="B59" s="15"/>
      <c r="C59" s="15"/>
      <c r="D59" s="170"/>
      <c r="E59" s="15"/>
      <c r="F59" s="15"/>
      <c r="G59" s="15"/>
      <c r="H59" s="44"/>
      <c r="I59" s="44"/>
      <c r="J59" s="15"/>
      <c r="K59" s="8"/>
      <c r="L59" s="8"/>
      <c r="M59" s="8"/>
      <c r="N59" s="8"/>
    </row>
    <row r="60" spans="1:14" x14ac:dyDescent="0.4">
      <c r="A60" s="9">
        <v>12</v>
      </c>
      <c r="B60" s="11" t="s">
        <v>51</v>
      </c>
      <c r="C60" s="11"/>
      <c r="D60" s="176"/>
      <c r="E60" s="43"/>
      <c r="F60" s="43"/>
      <c r="G60" s="11"/>
      <c r="H60" s="11"/>
      <c r="I60" s="11"/>
      <c r="J60" s="11"/>
      <c r="K60" s="11"/>
      <c r="L60" s="11"/>
      <c r="M60" s="11"/>
      <c r="N60" s="11"/>
    </row>
    <row r="61" spans="1:14" x14ac:dyDescent="0.4">
      <c r="A61" s="9"/>
      <c r="B61" s="11"/>
      <c r="C61" s="11"/>
      <c r="D61" s="176"/>
      <c r="E61" s="43"/>
      <c r="F61" s="43"/>
      <c r="G61" s="43"/>
      <c r="H61" s="11"/>
      <c r="I61" s="11"/>
      <c r="J61" s="11"/>
      <c r="K61" s="11"/>
      <c r="L61" s="11"/>
      <c r="M61" s="11"/>
      <c r="N61" s="11"/>
    </row>
    <row r="62" spans="1:14" x14ac:dyDescent="0.4">
      <c r="A62" s="9"/>
      <c r="B62" s="17" t="s">
        <v>52</v>
      </c>
      <c r="C62" s="446" t="s">
        <v>1550</v>
      </c>
      <c r="D62" s="446"/>
      <c r="E62" s="446"/>
      <c r="F62" s="44"/>
      <c r="G62" s="44"/>
      <c r="H62" s="118"/>
      <c r="I62" s="15"/>
      <c r="J62" s="15"/>
      <c r="K62" s="15"/>
      <c r="L62" s="15"/>
      <c r="M62" s="15"/>
      <c r="N62" s="15"/>
    </row>
    <row r="63" spans="1:14" x14ac:dyDescent="0.4">
      <c r="A63" s="9"/>
      <c r="B63" s="15"/>
      <c r="C63" s="15"/>
      <c r="D63" s="236"/>
      <c r="E63" s="118"/>
      <c r="F63" s="15"/>
      <c r="G63" s="15"/>
      <c r="H63" s="118"/>
      <c r="I63" s="118"/>
      <c r="J63" s="15"/>
      <c r="K63" s="15"/>
      <c r="L63" s="15"/>
      <c r="M63" s="15"/>
      <c r="N63" s="15"/>
    </row>
    <row r="64" spans="1:14" x14ac:dyDescent="0.4">
      <c r="A64" s="9"/>
      <c r="B64" s="365" t="s">
        <v>53</v>
      </c>
      <c r="C64" s="366" t="s">
        <v>1551</v>
      </c>
      <c r="D64" s="558" t="s">
        <v>1552</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57.75</v>
      </c>
      <c r="D66" s="101">
        <v>106.34</v>
      </c>
      <c r="E66" s="101" t="s">
        <v>41</v>
      </c>
      <c r="F66" s="101" t="s">
        <v>41</v>
      </c>
      <c r="G66" s="101" t="s">
        <v>41</v>
      </c>
      <c r="H66" s="101" t="s">
        <v>41</v>
      </c>
      <c r="I66" s="45" t="s">
        <v>41</v>
      </c>
      <c r="J66" s="45" t="s">
        <v>41</v>
      </c>
      <c r="K66" s="45" t="s">
        <v>41</v>
      </c>
      <c r="L66" s="45" t="s">
        <v>41</v>
      </c>
      <c r="M66" s="45" t="s">
        <v>41</v>
      </c>
      <c r="N66" s="45" t="s">
        <v>41</v>
      </c>
    </row>
    <row r="67" spans="1:14" x14ac:dyDescent="0.4">
      <c r="A67" s="2"/>
      <c r="B67" s="17" t="s">
        <v>216</v>
      </c>
      <c r="C67" s="284">
        <v>70865.100000000006</v>
      </c>
      <c r="D67" s="287">
        <v>71423.649999999994</v>
      </c>
      <c r="E67" s="101" t="s">
        <v>41</v>
      </c>
      <c r="F67" s="101" t="s">
        <v>41</v>
      </c>
      <c r="G67" s="101" t="s">
        <v>41</v>
      </c>
      <c r="H67" s="101" t="s">
        <v>41</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s="8" customFormat="1" ht="13.25" x14ac:dyDescent="0.4">
      <c r="A69" s="2"/>
      <c r="B69" s="399" t="s">
        <v>1102</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1127</v>
      </c>
      <c r="E78" s="18" t="s">
        <v>218</v>
      </c>
      <c r="F78" s="18" t="s">
        <v>71</v>
      </c>
      <c r="G78" s="18" t="s">
        <v>107</v>
      </c>
      <c r="H78" s="13"/>
      <c r="I78" s="13"/>
      <c r="J78" s="13"/>
      <c r="K78" s="13"/>
      <c r="L78" s="13"/>
      <c r="M78" s="13"/>
      <c r="N78" s="13"/>
    </row>
    <row r="79" spans="1:14" ht="25.55" customHeight="1" x14ac:dyDescent="0.4">
      <c r="A79" s="2"/>
      <c r="B79" s="411" t="s">
        <v>1271</v>
      </c>
      <c r="C79" s="207" t="s">
        <v>1553</v>
      </c>
      <c r="D79" s="55">
        <v>5.54</v>
      </c>
      <c r="E79" s="435" t="s">
        <v>1338</v>
      </c>
      <c r="F79" s="435" t="s">
        <v>326</v>
      </c>
      <c r="G79" s="435" t="s">
        <v>220</v>
      </c>
      <c r="H79" s="53"/>
      <c r="I79" s="53"/>
      <c r="J79" s="53"/>
      <c r="K79" s="53"/>
      <c r="L79" s="53"/>
      <c r="M79" s="53"/>
      <c r="N79" s="53"/>
    </row>
    <row r="80" spans="1:14" x14ac:dyDescent="0.4">
      <c r="A80" s="2"/>
      <c r="B80" s="533"/>
      <c r="C80" s="207" t="s">
        <v>987</v>
      </c>
      <c r="D80" s="287" t="s">
        <v>1077</v>
      </c>
      <c r="E80" s="436"/>
      <c r="F80" s="436"/>
      <c r="G80" s="436"/>
      <c r="H80" s="53"/>
      <c r="I80" s="53"/>
      <c r="J80" s="53"/>
      <c r="K80" s="53"/>
      <c r="L80" s="53"/>
      <c r="M80" s="53"/>
      <c r="N80" s="53"/>
    </row>
    <row r="81" spans="1:14" ht="26.5" x14ac:dyDescent="0.4">
      <c r="A81" s="2"/>
      <c r="B81" s="533"/>
      <c r="C81" s="350" t="s">
        <v>1554</v>
      </c>
      <c r="D81" s="287">
        <v>4.24</v>
      </c>
      <c r="E81" s="436"/>
      <c r="F81" s="436"/>
      <c r="G81" s="436"/>
      <c r="H81" s="53"/>
      <c r="I81" s="53"/>
      <c r="J81" s="53"/>
      <c r="K81" s="53"/>
      <c r="L81" s="53"/>
      <c r="M81" s="53"/>
      <c r="N81" s="53"/>
    </row>
    <row r="82" spans="1:14" ht="26.5" x14ac:dyDescent="0.4">
      <c r="A82" s="2"/>
      <c r="B82" s="533"/>
      <c r="C82" s="350" t="s">
        <v>1555</v>
      </c>
      <c r="D82" s="287">
        <v>1.05</v>
      </c>
      <c r="E82" s="436"/>
      <c r="F82" s="436"/>
      <c r="G82" s="436"/>
      <c r="H82" s="53"/>
      <c r="I82" s="53"/>
      <c r="J82" s="53"/>
      <c r="K82" s="53"/>
      <c r="L82" s="53"/>
      <c r="M82" s="53"/>
      <c r="N82" s="53"/>
    </row>
    <row r="83" spans="1:14" x14ac:dyDescent="0.4">
      <c r="A83" s="2"/>
      <c r="B83" s="534"/>
      <c r="C83" s="207" t="s">
        <v>74</v>
      </c>
      <c r="D83" s="132">
        <f>(D81+D82)/2</f>
        <v>2.645</v>
      </c>
      <c r="E83" s="436"/>
      <c r="F83" s="436"/>
      <c r="G83" s="436"/>
      <c r="H83" s="53"/>
      <c r="I83" s="53"/>
      <c r="J83" s="53"/>
      <c r="K83" s="53"/>
      <c r="L83" s="53"/>
      <c r="M83" s="53"/>
      <c r="N83" s="53"/>
    </row>
    <row r="84" spans="1:14" ht="38.450000000000003" x14ac:dyDescent="0.4">
      <c r="A84" s="2"/>
      <c r="B84" s="411" t="s">
        <v>75</v>
      </c>
      <c r="C84" s="207" t="s">
        <v>1553</v>
      </c>
      <c r="D84" s="287">
        <v>8.3000000000000007</v>
      </c>
      <c r="E84" s="436"/>
      <c r="F84" s="436"/>
      <c r="G84" s="436"/>
      <c r="H84" s="53"/>
      <c r="I84" s="53"/>
      <c r="J84" s="53"/>
      <c r="K84" s="53"/>
      <c r="L84" s="53"/>
      <c r="M84" s="53"/>
      <c r="N84" s="53"/>
    </row>
    <row r="85" spans="1:14" x14ac:dyDescent="0.4">
      <c r="A85" s="2"/>
      <c r="B85" s="533"/>
      <c r="C85" s="207" t="s">
        <v>987</v>
      </c>
      <c r="D85" s="287" t="s">
        <v>1077</v>
      </c>
      <c r="E85" s="436"/>
      <c r="F85" s="436"/>
      <c r="G85" s="436"/>
      <c r="H85" s="53"/>
      <c r="I85" s="53"/>
      <c r="J85" s="53"/>
      <c r="K85" s="53"/>
      <c r="L85" s="53"/>
      <c r="M85" s="53"/>
      <c r="N85" s="53"/>
    </row>
    <row r="86" spans="1:14" ht="26.5" x14ac:dyDescent="0.4">
      <c r="A86" s="2"/>
      <c r="B86" s="533"/>
      <c r="C86" s="350" t="s">
        <v>1554</v>
      </c>
      <c r="D86" s="287">
        <v>50.63</v>
      </c>
      <c r="E86" s="436"/>
      <c r="F86" s="436"/>
      <c r="G86" s="436"/>
      <c r="H86" s="53"/>
      <c r="I86" s="53"/>
      <c r="J86" s="53"/>
      <c r="K86" s="53"/>
      <c r="L86" s="53"/>
      <c r="M86" s="53"/>
      <c r="N86" s="53"/>
    </row>
    <row r="87" spans="1:14" ht="26.5" x14ac:dyDescent="0.4">
      <c r="A87" s="2"/>
      <c r="B87" s="533"/>
      <c r="C87" s="350" t="s">
        <v>1555</v>
      </c>
      <c r="D87" s="287">
        <v>30.3</v>
      </c>
      <c r="E87" s="436"/>
      <c r="F87" s="436"/>
      <c r="G87" s="436"/>
      <c r="H87" s="53"/>
      <c r="I87" s="53"/>
      <c r="J87" s="53"/>
      <c r="K87" s="53"/>
      <c r="L87" s="53"/>
      <c r="M87" s="53"/>
      <c r="N87" s="53"/>
    </row>
    <row r="88" spans="1:14" x14ac:dyDescent="0.4">
      <c r="A88" s="2"/>
      <c r="B88" s="534"/>
      <c r="C88" s="207" t="s">
        <v>74</v>
      </c>
      <c r="D88" s="132">
        <f>(D86+D87)/2</f>
        <v>40.465000000000003</v>
      </c>
      <c r="E88" s="436"/>
      <c r="F88" s="436"/>
      <c r="G88" s="436"/>
      <c r="H88" s="53"/>
      <c r="I88" s="53"/>
      <c r="J88" s="53"/>
      <c r="K88" s="53"/>
      <c r="L88" s="53"/>
      <c r="M88" s="53"/>
      <c r="N88" s="53"/>
    </row>
    <row r="89" spans="1:14" ht="38.450000000000003" x14ac:dyDescent="0.4">
      <c r="A89" s="2"/>
      <c r="B89" s="411" t="s">
        <v>76</v>
      </c>
      <c r="C89" s="207" t="s">
        <v>1553</v>
      </c>
      <c r="D89" s="55">
        <v>16.489999999999998</v>
      </c>
      <c r="E89" s="436"/>
      <c r="F89" s="436"/>
      <c r="G89" s="436"/>
      <c r="H89" s="53"/>
      <c r="I89" s="53"/>
      <c r="J89" s="53"/>
      <c r="K89" s="53"/>
      <c r="L89" s="53"/>
      <c r="M89" s="53"/>
      <c r="N89" s="53"/>
    </row>
    <row r="90" spans="1:14" x14ac:dyDescent="0.4">
      <c r="A90" s="2"/>
      <c r="B90" s="533"/>
      <c r="C90" s="207" t="s">
        <v>987</v>
      </c>
      <c r="D90" s="287" t="s">
        <v>1077</v>
      </c>
      <c r="E90" s="436"/>
      <c r="F90" s="436"/>
      <c r="G90" s="436"/>
      <c r="H90" s="53"/>
      <c r="I90" s="53"/>
      <c r="J90" s="53"/>
      <c r="K90" s="53"/>
      <c r="L90" s="53"/>
      <c r="M90" s="53"/>
      <c r="N90" s="53"/>
    </row>
    <row r="91" spans="1:14" ht="26.5" x14ac:dyDescent="0.4">
      <c r="A91" s="2"/>
      <c r="B91" s="533"/>
      <c r="C91" s="350" t="s">
        <v>1554</v>
      </c>
      <c r="D91" s="287">
        <v>6.87</v>
      </c>
      <c r="E91" s="436"/>
      <c r="F91" s="436"/>
      <c r="G91" s="436"/>
      <c r="H91" s="53"/>
      <c r="I91" s="53"/>
      <c r="J91" s="53"/>
      <c r="K91" s="53"/>
      <c r="L91" s="53"/>
      <c r="M91" s="53"/>
      <c r="N91" s="53"/>
    </row>
    <row r="92" spans="1:14" ht="26.5" x14ac:dyDescent="0.4">
      <c r="A92" s="2"/>
      <c r="B92" s="533"/>
      <c r="C92" s="350" t="s">
        <v>1555</v>
      </c>
      <c r="D92" s="287">
        <v>8.67</v>
      </c>
      <c r="E92" s="436"/>
      <c r="F92" s="436"/>
      <c r="G92" s="436"/>
      <c r="H92" s="53"/>
      <c r="I92" s="53"/>
      <c r="J92" s="53"/>
      <c r="K92" s="53"/>
      <c r="L92" s="53"/>
      <c r="M92" s="53"/>
      <c r="N92" s="53"/>
    </row>
    <row r="93" spans="1:14" x14ac:dyDescent="0.4">
      <c r="A93" s="2"/>
      <c r="B93" s="534"/>
      <c r="C93" s="207" t="s">
        <v>74</v>
      </c>
      <c r="D93" s="132">
        <f>(D91+D92)/2</f>
        <v>7.77</v>
      </c>
      <c r="E93" s="436"/>
      <c r="F93" s="436"/>
      <c r="G93" s="436"/>
      <c r="H93" s="53"/>
      <c r="I93" s="53"/>
      <c r="J93" s="53"/>
      <c r="K93" s="53"/>
      <c r="L93" s="53"/>
      <c r="M93" s="53"/>
      <c r="N93" s="53"/>
    </row>
    <row r="94" spans="1:14" ht="38.450000000000003" x14ac:dyDescent="0.4">
      <c r="A94" s="2"/>
      <c r="B94" s="603" t="s">
        <v>77</v>
      </c>
      <c r="C94" s="207" t="s">
        <v>1553</v>
      </c>
      <c r="D94" s="287">
        <v>33.630000000000003</v>
      </c>
      <c r="E94" s="436"/>
      <c r="F94" s="436"/>
      <c r="G94" s="436"/>
      <c r="H94" s="53"/>
      <c r="I94" s="53"/>
      <c r="J94" s="53"/>
      <c r="K94" s="53"/>
      <c r="L94" s="53"/>
      <c r="M94" s="53"/>
      <c r="N94" s="53"/>
    </row>
    <row r="95" spans="1:14" x14ac:dyDescent="0.4">
      <c r="A95" s="2"/>
      <c r="B95" s="604"/>
      <c r="C95" s="207" t="s">
        <v>987</v>
      </c>
      <c r="D95" s="287" t="s">
        <v>1077</v>
      </c>
      <c r="E95" s="436"/>
      <c r="F95" s="436"/>
      <c r="G95" s="436"/>
      <c r="H95" s="53"/>
      <c r="I95" s="53"/>
      <c r="J95" s="53"/>
      <c r="K95" s="53"/>
      <c r="L95" s="53"/>
      <c r="M95" s="53"/>
      <c r="N95" s="53"/>
    </row>
    <row r="96" spans="1:14" ht="26.5" x14ac:dyDescent="0.4">
      <c r="A96" s="2"/>
      <c r="B96" s="604"/>
      <c r="C96" s="350" t="s">
        <v>1554</v>
      </c>
      <c r="D96" s="287">
        <v>3.9</v>
      </c>
      <c r="E96" s="436"/>
      <c r="F96" s="436"/>
      <c r="G96" s="436"/>
      <c r="H96" s="53"/>
      <c r="I96" s="53"/>
      <c r="J96" s="53"/>
      <c r="K96" s="53"/>
      <c r="L96" s="53"/>
      <c r="M96" s="53"/>
      <c r="N96" s="53"/>
    </row>
    <row r="97" spans="1:14" ht="26.5" x14ac:dyDescent="0.4">
      <c r="A97" s="2"/>
      <c r="B97" s="604"/>
      <c r="C97" s="350" t="s">
        <v>1555</v>
      </c>
      <c r="D97" s="287">
        <v>12.1</v>
      </c>
      <c r="E97" s="436"/>
      <c r="F97" s="436"/>
      <c r="G97" s="436"/>
      <c r="H97" s="53"/>
      <c r="I97" s="53"/>
      <c r="J97" s="53"/>
      <c r="K97" s="53"/>
      <c r="L97" s="53"/>
      <c r="M97" s="53"/>
      <c r="N97" s="53"/>
    </row>
    <row r="98" spans="1:14" ht="15.05" customHeight="1" x14ac:dyDescent="0.4">
      <c r="A98" s="2"/>
      <c r="B98" s="604"/>
      <c r="C98" s="3" t="s">
        <v>74</v>
      </c>
      <c r="D98" s="132">
        <f>(D96+D97)/2</f>
        <v>8</v>
      </c>
      <c r="E98" s="547"/>
      <c r="F98" s="547"/>
      <c r="G98" s="547"/>
      <c r="H98" s="53"/>
      <c r="I98" s="53"/>
      <c r="J98" s="53"/>
      <c r="K98" s="53"/>
      <c r="L98" s="53"/>
      <c r="M98" s="53"/>
      <c r="N98" s="53"/>
    </row>
    <row r="99" spans="1:14" ht="15.8" customHeight="1" x14ac:dyDescent="0.4">
      <c r="A99" s="8"/>
      <c r="B99" s="608" t="s">
        <v>1556</v>
      </c>
      <c r="C99" s="609"/>
      <c r="D99" s="609"/>
      <c r="E99" s="609"/>
      <c r="F99" s="609"/>
      <c r="G99" s="610"/>
      <c r="H99" s="53"/>
      <c r="I99" s="53"/>
      <c r="J99" s="8"/>
      <c r="K99" s="8"/>
      <c r="L99" s="8"/>
      <c r="M99" s="8"/>
      <c r="N99" s="8"/>
    </row>
    <row r="100" spans="1:14" x14ac:dyDescent="0.4">
      <c r="A100" s="9">
        <v>14</v>
      </c>
      <c r="B100" s="418" t="s">
        <v>85</v>
      </c>
      <c r="C100" s="419"/>
      <c r="D100" s="419"/>
      <c r="E100" s="419"/>
      <c r="F100" s="419"/>
      <c r="G100" s="420"/>
      <c r="H100" s="8"/>
      <c r="I100" s="8"/>
      <c r="J100" s="8"/>
      <c r="K100" s="8"/>
      <c r="L100" s="8"/>
      <c r="M100" s="8"/>
      <c r="N100" s="8"/>
    </row>
    <row r="101" spans="1:14" x14ac:dyDescent="0.4">
      <c r="A101" s="23"/>
      <c r="B101" s="61" t="s">
        <v>78</v>
      </c>
      <c r="C101" s="497" t="s">
        <v>41</v>
      </c>
      <c r="D101" s="497"/>
      <c r="E101" s="497"/>
      <c r="F101" s="497"/>
      <c r="G101" s="497"/>
      <c r="H101" s="8"/>
      <c r="I101" s="8"/>
      <c r="J101" s="8"/>
      <c r="K101" s="8"/>
      <c r="L101" s="8"/>
      <c r="M101" s="8"/>
      <c r="N101" s="8"/>
    </row>
    <row r="102" spans="1:14" x14ac:dyDescent="0.4">
      <c r="A102" s="8"/>
      <c r="B102" s="8"/>
      <c r="C102" s="10"/>
      <c r="D102" s="208"/>
      <c r="E102" s="200"/>
      <c r="F102" s="200"/>
      <c r="G102" s="200"/>
      <c r="H102" s="8"/>
      <c r="I102" s="8"/>
      <c r="J102" s="8"/>
      <c r="K102" s="8"/>
      <c r="L102" s="8"/>
      <c r="M102" s="8"/>
      <c r="N102" s="8"/>
    </row>
    <row r="103" spans="1:14" x14ac:dyDescent="0.4">
      <c r="B103" s="538" t="s">
        <v>1557</v>
      </c>
      <c r="C103" s="538"/>
      <c r="D103" s="538"/>
      <c r="E103" s="538"/>
      <c r="F103" s="538"/>
      <c r="G103" s="538"/>
    </row>
    <row r="104" spans="1:14" x14ac:dyDescent="0.4">
      <c r="C104" s="200"/>
    </row>
    <row r="105" spans="1:14" x14ac:dyDescent="0.4">
      <c r="B105" s="497" t="s">
        <v>1490</v>
      </c>
      <c r="C105" s="497"/>
      <c r="D105" s="497"/>
      <c r="E105" s="497"/>
      <c r="F105" s="497"/>
      <c r="G105" s="497"/>
    </row>
    <row r="106" spans="1:14" x14ac:dyDescent="0.4">
      <c r="C106" s="238"/>
    </row>
    <row r="107" spans="1:14" x14ac:dyDescent="0.4">
      <c r="C107" s="228"/>
      <c r="D107" s="228"/>
    </row>
    <row r="108" spans="1:14" x14ac:dyDescent="0.4">
      <c r="C108" s="228"/>
    </row>
  </sheetData>
  <sheetProtection algorithmName="SHA-512" hashValue="Zir/twmuHPpB3RBF69I/SawtRbKZFLdAMZCWhjwbom+9wQ44V9stBpP3wcvBRUuNc1PT1ejUa+RNCl5k//SjfQ==" saltValue="eFtVNDBWIC7M0BcVqdvlvQ==" spinCount="100000" sheet="1" objects="1" scenarios="1"/>
  <mergeCells count="69">
    <mergeCell ref="B99:G99"/>
    <mergeCell ref="B100:G100"/>
    <mergeCell ref="C101:G101"/>
    <mergeCell ref="B103:G103"/>
    <mergeCell ref="B105:G105"/>
    <mergeCell ref="B73:N73"/>
    <mergeCell ref="B74:N74"/>
    <mergeCell ref="B76:G76"/>
    <mergeCell ref="B79:B83"/>
    <mergeCell ref="E79:E98"/>
    <mergeCell ref="F79:F98"/>
    <mergeCell ref="G79:G98"/>
    <mergeCell ref="B84:B88"/>
    <mergeCell ref="B89:B93"/>
    <mergeCell ref="B94:B98"/>
    <mergeCell ref="B72:N72"/>
    <mergeCell ref="B64:B65"/>
    <mergeCell ref="C64:C65"/>
    <mergeCell ref="D64:D65"/>
    <mergeCell ref="E64:E65"/>
    <mergeCell ref="F64:H64"/>
    <mergeCell ref="I64:K64"/>
    <mergeCell ref="L64:N64"/>
    <mergeCell ref="C68:N68"/>
    <mergeCell ref="B69:N69"/>
    <mergeCell ref="B70:N70"/>
    <mergeCell ref="B71:N71"/>
    <mergeCell ref="C62:E62"/>
    <mergeCell ref="B43:E43"/>
    <mergeCell ref="B45:E45"/>
    <mergeCell ref="B48:E48"/>
    <mergeCell ref="B50:E50"/>
    <mergeCell ref="B51:B52"/>
    <mergeCell ref="C51:E52"/>
    <mergeCell ref="C53:E53"/>
    <mergeCell ref="C54:E54"/>
    <mergeCell ref="B55:E55"/>
    <mergeCell ref="B56:E56"/>
    <mergeCell ref="C58:E58"/>
    <mergeCell ref="C42:E42"/>
    <mergeCell ref="C27:C30"/>
    <mergeCell ref="D27:D30"/>
    <mergeCell ref="E27:E30"/>
    <mergeCell ref="B31:E31"/>
    <mergeCell ref="B33:E33"/>
    <mergeCell ref="C34:E34"/>
    <mergeCell ref="C35:E35"/>
    <mergeCell ref="C36:E36"/>
    <mergeCell ref="B39:E39"/>
    <mergeCell ref="C40:E40"/>
    <mergeCell ref="C41:E41"/>
    <mergeCell ref="B25:E25"/>
    <mergeCell ref="C11:E11"/>
    <mergeCell ref="B12:E12"/>
    <mergeCell ref="C14:E14"/>
    <mergeCell ref="B15:E15"/>
    <mergeCell ref="B17:E17"/>
    <mergeCell ref="C18:E18"/>
    <mergeCell ref="C19:E19"/>
    <mergeCell ref="C20:E20"/>
    <mergeCell ref="C21:E21"/>
    <mergeCell ref="C22:E22"/>
    <mergeCell ref="B24:E24"/>
    <mergeCell ref="B9:E9"/>
    <mergeCell ref="A1:B1"/>
    <mergeCell ref="C3:E3"/>
    <mergeCell ref="C5:E5"/>
    <mergeCell ref="B6:E6"/>
    <mergeCell ref="C8:E8"/>
  </mergeCells>
  <pageMargins left="0.7" right="0.7" top="0.75" bottom="0.75" header="0.3" footer="0.3"/>
  <pageSetup paperSize="8" orientation="landscape" verticalDpi="0"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BBA6C-7829-4630-9C44-31D9046391E1}">
  <dimension ref="A1:N116"/>
  <sheetViews>
    <sheetView view="pageBreakPreview" topLeftCell="A99" zoomScale="60" zoomScaleNormal="100" workbookViewId="0">
      <selection activeCell="B61" sqref="B61:E61"/>
    </sheetView>
  </sheetViews>
  <sheetFormatPr defaultColWidth="9.07421875" defaultRowHeight="14.6" x14ac:dyDescent="0.4"/>
  <cols>
    <col min="1" max="1" width="6.4609375" bestFit="1" customWidth="1"/>
    <col min="2" max="2" width="49.53515625" customWidth="1"/>
    <col min="3" max="3" width="19.53515625" customWidth="1"/>
    <col min="4" max="4" width="18.07421875" customWidth="1"/>
    <col min="5" max="5" width="18.69140625" customWidth="1"/>
    <col min="6" max="6" width="9.3046875" bestFit="1" customWidth="1"/>
    <col min="8" max="8" width="10" bestFit="1" customWidth="1"/>
    <col min="9" max="9" width="10.074218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1514</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1515</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v>25.48</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605">
        <v>12.55</v>
      </c>
      <c r="D18" s="606"/>
      <c r="E18" s="607"/>
      <c r="F18" s="15"/>
      <c r="G18" s="13"/>
      <c r="H18" s="13"/>
      <c r="I18" s="13"/>
      <c r="J18" s="13"/>
      <c r="K18" s="13"/>
      <c r="L18" s="13"/>
      <c r="M18" s="13"/>
      <c r="N18" s="13"/>
    </row>
    <row r="19" spans="1:14" ht="42" customHeight="1" x14ac:dyDescent="0.4">
      <c r="A19" s="9"/>
      <c r="B19" s="14" t="s">
        <v>1517</v>
      </c>
      <c r="C19" s="605" t="s">
        <v>1516</v>
      </c>
      <c r="D19" s="606"/>
      <c r="E19" s="607"/>
      <c r="F19" s="15"/>
      <c r="G19" s="13" t="s">
        <v>693</v>
      </c>
      <c r="H19" s="8"/>
      <c r="I19" s="13"/>
      <c r="J19" s="13"/>
      <c r="K19" s="13"/>
      <c r="L19" s="13"/>
      <c r="M19" s="13"/>
      <c r="N19" s="13"/>
    </row>
    <row r="20" spans="1:14" x14ac:dyDescent="0.4">
      <c r="A20" s="9"/>
      <c r="B20" s="14" t="s">
        <v>605</v>
      </c>
      <c r="C20" s="446" t="s">
        <v>319</v>
      </c>
      <c r="D20" s="446"/>
      <c r="E20" s="446"/>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c r="B38" s="15"/>
      <c r="C38" s="13"/>
      <c r="D38" s="169"/>
      <c r="E38" s="13"/>
      <c r="F38" s="13"/>
      <c r="G38" s="8"/>
      <c r="H38" s="8"/>
      <c r="I38" s="8"/>
      <c r="J38" s="8"/>
      <c r="K38" s="8"/>
      <c r="L38" s="8"/>
      <c r="M38" s="8"/>
      <c r="N38" s="8"/>
    </row>
    <row r="39" spans="1:14" x14ac:dyDescent="0.4">
      <c r="A39" s="9">
        <v>8</v>
      </c>
      <c r="B39" s="365" t="s">
        <v>1084</v>
      </c>
      <c r="C39" s="365"/>
      <c r="D39" s="365"/>
      <c r="E39" s="365"/>
      <c r="F39" s="11"/>
      <c r="G39" s="11"/>
      <c r="H39" s="11"/>
      <c r="I39" s="11"/>
      <c r="J39" s="11"/>
      <c r="K39" s="8"/>
      <c r="L39" s="8"/>
      <c r="M39" s="8"/>
      <c r="N39" s="8"/>
    </row>
    <row r="40" spans="1:14" ht="15.05" customHeight="1" x14ac:dyDescent="0.4">
      <c r="A40" s="9"/>
      <c r="B40" s="17" t="s">
        <v>34</v>
      </c>
      <c r="C40" s="373" t="s">
        <v>319</v>
      </c>
      <c r="D40" s="374"/>
      <c r="E40" s="375"/>
      <c r="F40" s="13"/>
      <c r="G40" s="8"/>
      <c r="H40" s="8"/>
      <c r="I40" s="8"/>
      <c r="J40" s="8"/>
      <c r="K40" s="8"/>
      <c r="L40" s="8"/>
      <c r="M40" s="8"/>
      <c r="N40" s="8"/>
    </row>
    <row r="41" spans="1:14" x14ac:dyDescent="0.4">
      <c r="A41" s="9"/>
      <c r="B41" s="17" t="s">
        <v>31</v>
      </c>
      <c r="C41" s="373" t="s">
        <v>320</v>
      </c>
      <c r="D41" s="374"/>
      <c r="E41" s="375"/>
      <c r="F41" s="13"/>
      <c r="G41" s="8"/>
      <c r="H41" s="8"/>
      <c r="I41" s="8"/>
      <c r="J41" s="8"/>
      <c r="K41" s="8"/>
      <c r="L41" s="8"/>
      <c r="M41" s="8"/>
      <c r="N41" s="8"/>
    </row>
    <row r="42" spans="1:14" x14ac:dyDescent="0.4">
      <c r="A42" s="9"/>
      <c r="B42" s="17" t="s">
        <v>32</v>
      </c>
      <c r="C42" s="446" t="s">
        <v>201</v>
      </c>
      <c r="D42" s="446"/>
      <c r="E42" s="446"/>
      <c r="F42" s="13"/>
      <c r="G42" s="8"/>
      <c r="H42" s="8"/>
      <c r="I42" s="8"/>
      <c r="J42" s="8"/>
      <c r="K42" s="8"/>
      <c r="L42" s="8"/>
      <c r="M42" s="8"/>
      <c r="N42" s="8"/>
    </row>
    <row r="43" spans="1:14" x14ac:dyDescent="0.4">
      <c r="A43" s="9"/>
      <c r="B43" s="363" t="s">
        <v>848</v>
      </c>
      <c r="C43" s="368"/>
      <c r="D43" s="368"/>
      <c r="E43" s="369"/>
      <c r="F43" s="13"/>
      <c r="G43" s="8"/>
      <c r="H43" s="8"/>
      <c r="I43" s="8"/>
      <c r="J43" s="8"/>
      <c r="K43" s="8"/>
      <c r="L43" s="8"/>
      <c r="M43" s="8"/>
      <c r="N43" s="8"/>
    </row>
    <row r="44" spans="1:14" x14ac:dyDescent="0.4">
      <c r="A44" s="2"/>
      <c r="B44" s="8"/>
      <c r="C44" s="8"/>
      <c r="D44" s="173"/>
      <c r="E44" s="13"/>
      <c r="F44" s="8"/>
      <c r="G44" s="8"/>
      <c r="H44" s="8"/>
      <c r="I44" s="8"/>
      <c r="J44" s="8"/>
      <c r="K44" s="8"/>
      <c r="L44" s="8"/>
      <c r="M44" s="8"/>
      <c r="N44" s="8"/>
    </row>
    <row r="45" spans="1:14" x14ac:dyDescent="0.4">
      <c r="A45" s="24">
        <v>9</v>
      </c>
      <c r="B45" s="376" t="s">
        <v>1085</v>
      </c>
      <c r="C45" s="365"/>
      <c r="D45" s="365"/>
      <c r="E45" s="365"/>
      <c r="F45" s="25"/>
      <c r="G45" s="11"/>
      <c r="H45" s="11"/>
      <c r="I45" s="11"/>
      <c r="J45" s="8"/>
      <c r="K45" s="8"/>
      <c r="L45" s="8"/>
      <c r="M45" s="8"/>
      <c r="N45" s="8"/>
    </row>
    <row r="46" spans="1:14" ht="38.450000000000003" x14ac:dyDescent="0.4">
      <c r="A46" s="24"/>
      <c r="B46" s="26" t="s">
        <v>37</v>
      </c>
      <c r="C46" s="27" t="s">
        <v>38</v>
      </c>
      <c r="D46" s="174" t="s">
        <v>168</v>
      </c>
      <c r="E46" s="27" t="s">
        <v>206</v>
      </c>
      <c r="F46" s="8"/>
      <c r="G46" s="8"/>
      <c r="H46" s="8"/>
      <c r="I46" s="8"/>
      <c r="J46" s="8"/>
      <c r="K46" s="8"/>
      <c r="L46" s="8"/>
      <c r="M46" s="8"/>
      <c r="N46" s="8"/>
    </row>
    <row r="47" spans="1:14" ht="132.55000000000001" x14ac:dyDescent="0.4">
      <c r="A47" s="29"/>
      <c r="B47" s="78" t="s">
        <v>1518</v>
      </c>
      <c r="C47" s="216" t="s">
        <v>1519</v>
      </c>
      <c r="D47" s="78" t="s">
        <v>1521</v>
      </c>
      <c r="E47" s="117" t="s">
        <v>83</v>
      </c>
      <c r="F47" s="8"/>
      <c r="G47" s="8"/>
      <c r="H47" s="8"/>
      <c r="I47" s="8"/>
      <c r="J47" s="8"/>
      <c r="K47" s="8"/>
      <c r="L47" s="8"/>
      <c r="M47" s="8"/>
      <c r="N47" s="8"/>
    </row>
    <row r="48" spans="1:14" x14ac:dyDescent="0.4">
      <c r="A48" s="31"/>
      <c r="B48" s="380"/>
      <c r="C48" s="381"/>
      <c r="D48" s="381"/>
      <c r="E48" s="382"/>
      <c r="F48" s="15"/>
      <c r="G48" s="15"/>
      <c r="H48" s="15"/>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21.75" customHeight="1" x14ac:dyDescent="0.4">
      <c r="A51" s="29"/>
      <c r="B51" s="383" t="s">
        <v>43</v>
      </c>
      <c r="C51" s="581" t="s">
        <v>1520</v>
      </c>
      <c r="D51" s="582"/>
      <c r="E51" s="583"/>
      <c r="F51" s="8"/>
      <c r="G51" s="8"/>
      <c r="H51" s="8"/>
      <c r="I51" s="8"/>
      <c r="J51" s="8"/>
      <c r="K51" s="1"/>
      <c r="L51" s="8"/>
      <c r="M51" s="8"/>
      <c r="N51" s="8"/>
    </row>
    <row r="52" spans="1:14" ht="83.3" customHeight="1" x14ac:dyDescent="0.4">
      <c r="A52" s="29"/>
      <c r="B52" s="384"/>
      <c r="C52" s="584"/>
      <c r="D52" s="585"/>
      <c r="E52" s="586"/>
      <c r="F52" s="8"/>
      <c r="G52" s="8"/>
      <c r="H52" s="8"/>
      <c r="I52" s="8"/>
      <c r="J52" s="8"/>
      <c r="K52" s="1"/>
      <c r="L52" s="8"/>
      <c r="M52" s="8"/>
      <c r="N52" s="8"/>
    </row>
    <row r="53" spans="1:14" ht="104.35" customHeight="1" x14ac:dyDescent="0.4">
      <c r="A53" s="24"/>
      <c r="B53" s="33" t="s">
        <v>44</v>
      </c>
      <c r="C53" s="391" t="s">
        <v>1521</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x14ac:dyDescent="0.4">
      <c r="A55" s="29"/>
      <c r="B55" s="480"/>
      <c r="C55" s="480"/>
      <c r="D55" s="480"/>
      <c r="E55" s="480"/>
      <c r="F55" s="8"/>
      <c r="G55" s="8"/>
      <c r="H55" s="8"/>
      <c r="I55" s="8"/>
      <c r="J55" s="8"/>
      <c r="K55" s="34"/>
      <c r="L55" s="8"/>
      <c r="M55" s="8"/>
      <c r="N55" s="8"/>
    </row>
    <row r="56" spans="1:14" x14ac:dyDescent="0.4">
      <c r="A56" s="35" t="s">
        <v>47</v>
      </c>
      <c r="B56" s="392" t="s">
        <v>48</v>
      </c>
      <c r="C56" s="392"/>
      <c r="D56" s="392"/>
      <c r="E56" s="392"/>
      <c r="F56" s="63"/>
      <c r="G56" s="63"/>
      <c r="H56" s="63"/>
      <c r="I56" s="63"/>
      <c r="J56" s="63"/>
      <c r="K56" s="63"/>
      <c r="L56" s="63"/>
      <c r="M56" s="63"/>
      <c r="N56" s="63"/>
    </row>
    <row r="57" spans="1:14" x14ac:dyDescent="0.4">
      <c r="A57" s="40"/>
      <c r="B57" s="41"/>
      <c r="C57" s="42"/>
      <c r="D57" s="175"/>
      <c r="E57" s="42"/>
      <c r="F57" s="42"/>
      <c r="G57" s="8"/>
      <c r="H57" s="8"/>
      <c r="I57" s="8"/>
      <c r="J57" s="8"/>
      <c r="K57" s="8"/>
      <c r="L57" s="8"/>
      <c r="M57" s="8"/>
      <c r="N57" s="8"/>
    </row>
    <row r="58" spans="1:14" x14ac:dyDescent="0.4">
      <c r="A58" s="9">
        <v>11</v>
      </c>
      <c r="B58" s="3" t="s">
        <v>49</v>
      </c>
      <c r="C58" s="580" t="s">
        <v>851</v>
      </c>
      <c r="D58" s="580"/>
      <c r="E58" s="580"/>
      <c r="F58" s="11"/>
      <c r="G58" s="11"/>
      <c r="H58" s="43"/>
      <c r="I58" s="11"/>
      <c r="J58" s="11"/>
      <c r="K58" s="8"/>
      <c r="L58" s="8"/>
      <c r="M58" s="8"/>
      <c r="N58" s="8"/>
    </row>
    <row r="59" spans="1:14" x14ac:dyDescent="0.4">
      <c r="A59" s="9"/>
      <c r="B59" s="15"/>
      <c r="C59" s="15"/>
      <c r="D59" s="170"/>
      <c r="E59" s="15"/>
      <c r="F59" s="15"/>
      <c r="G59" s="15"/>
      <c r="H59" s="44"/>
      <c r="I59" s="44"/>
      <c r="J59" s="15"/>
      <c r="K59" s="8"/>
      <c r="L59" s="8"/>
      <c r="M59" s="8"/>
      <c r="N59" s="8"/>
    </row>
    <row r="60" spans="1:14" x14ac:dyDescent="0.4">
      <c r="A60" s="9">
        <v>12</v>
      </c>
      <c r="B60" s="11" t="s">
        <v>51</v>
      </c>
      <c r="C60" s="11"/>
      <c r="D60" s="176"/>
      <c r="E60" s="43"/>
      <c r="F60" s="43"/>
      <c r="G60" s="11"/>
      <c r="H60" s="11"/>
      <c r="I60" s="11"/>
      <c r="J60" s="11"/>
      <c r="K60" s="11"/>
      <c r="L60" s="11"/>
      <c r="M60" s="11"/>
      <c r="N60" s="11"/>
    </row>
    <row r="61" spans="1:14" x14ac:dyDescent="0.4">
      <c r="A61" s="9"/>
      <c r="B61" s="11"/>
      <c r="C61" s="11"/>
      <c r="D61" s="176"/>
      <c r="E61" s="43"/>
      <c r="F61" s="43"/>
      <c r="G61" s="43"/>
      <c r="H61" s="11"/>
      <c r="I61" s="11"/>
      <c r="J61" s="11"/>
      <c r="K61" s="11"/>
      <c r="L61" s="11"/>
      <c r="M61" s="11"/>
      <c r="N61" s="11"/>
    </row>
    <row r="62" spans="1:14" x14ac:dyDescent="0.4">
      <c r="A62" s="9"/>
      <c r="B62" s="17" t="s">
        <v>52</v>
      </c>
      <c r="C62" s="446" t="s">
        <v>1522</v>
      </c>
      <c r="D62" s="446"/>
      <c r="E62" s="446"/>
      <c r="F62" s="44"/>
      <c r="G62" s="44"/>
      <c r="H62" s="118"/>
      <c r="I62" s="15"/>
      <c r="J62" s="15"/>
      <c r="K62" s="15"/>
      <c r="L62" s="15"/>
      <c r="M62" s="15"/>
      <c r="N62" s="15"/>
    </row>
    <row r="63" spans="1:14" x14ac:dyDescent="0.4">
      <c r="A63" s="9"/>
      <c r="B63" s="15"/>
      <c r="C63" s="15"/>
      <c r="D63" s="236"/>
      <c r="E63" s="118"/>
      <c r="F63" s="15"/>
      <c r="G63" s="15"/>
      <c r="H63" s="118"/>
      <c r="I63" s="118"/>
      <c r="J63" s="15"/>
      <c r="K63" s="15"/>
      <c r="L63" s="15"/>
      <c r="M63" s="15"/>
      <c r="N63" s="15"/>
    </row>
    <row r="64" spans="1:14" x14ac:dyDescent="0.4">
      <c r="A64" s="9"/>
      <c r="B64" s="365" t="s">
        <v>53</v>
      </c>
      <c r="C64" s="366" t="s">
        <v>1523</v>
      </c>
      <c r="D64" s="558" t="s">
        <v>1524</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79.8</v>
      </c>
      <c r="D66" s="101">
        <v>76.92</v>
      </c>
      <c r="E66" s="101" t="s">
        <v>41</v>
      </c>
      <c r="F66" s="101" t="s">
        <v>41</v>
      </c>
      <c r="G66" s="101" t="s">
        <v>41</v>
      </c>
      <c r="H66" s="101" t="s">
        <v>41</v>
      </c>
      <c r="I66" s="45" t="s">
        <v>41</v>
      </c>
      <c r="J66" s="45" t="s">
        <v>41</v>
      </c>
      <c r="K66" s="45" t="s">
        <v>41</v>
      </c>
      <c r="L66" s="45" t="s">
        <v>41</v>
      </c>
      <c r="M66" s="45" t="s">
        <v>41</v>
      </c>
      <c r="N66" s="45" t="s">
        <v>41</v>
      </c>
    </row>
    <row r="67" spans="1:14" x14ac:dyDescent="0.4">
      <c r="A67" s="2"/>
      <c r="B67" s="17" t="s">
        <v>216</v>
      </c>
      <c r="C67" s="284">
        <v>72038.429999999993</v>
      </c>
      <c r="D67" s="287">
        <v>70700.67</v>
      </c>
      <c r="E67" s="101" t="s">
        <v>41</v>
      </c>
      <c r="F67" s="101" t="s">
        <v>41</v>
      </c>
      <c r="G67" s="101" t="s">
        <v>41</v>
      </c>
      <c r="H67" s="101" t="s">
        <v>41</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s="8" customFormat="1" ht="13.25" x14ac:dyDescent="0.4">
      <c r="A69" s="2"/>
      <c r="B69" s="399" t="s">
        <v>1102</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1127</v>
      </c>
      <c r="E78" s="18" t="s">
        <v>218</v>
      </c>
      <c r="F78" s="18" t="s">
        <v>71</v>
      </c>
      <c r="G78" s="18" t="s">
        <v>107</v>
      </c>
      <c r="H78" s="13"/>
      <c r="I78" s="13"/>
      <c r="J78" s="13"/>
      <c r="K78" s="13"/>
      <c r="L78" s="13"/>
      <c r="M78" s="13"/>
      <c r="N78" s="13"/>
    </row>
    <row r="79" spans="1:14" ht="25.55" customHeight="1" x14ac:dyDescent="0.4">
      <c r="A79" s="2"/>
      <c r="B79" s="411" t="s">
        <v>1271</v>
      </c>
      <c r="C79" s="207" t="s">
        <v>1525</v>
      </c>
      <c r="D79" s="55">
        <v>7.13</v>
      </c>
      <c r="E79" s="435" t="s">
        <v>1338</v>
      </c>
      <c r="F79" s="435" t="s">
        <v>326</v>
      </c>
      <c r="G79" s="435" t="s">
        <v>220</v>
      </c>
      <c r="H79" s="53"/>
      <c r="I79" s="53"/>
      <c r="J79" s="53"/>
      <c r="K79" s="53"/>
      <c r="L79" s="53"/>
      <c r="M79" s="53"/>
      <c r="N79" s="53"/>
    </row>
    <row r="80" spans="1:14" x14ac:dyDescent="0.4">
      <c r="A80" s="2"/>
      <c r="B80" s="533"/>
      <c r="C80" s="207" t="s">
        <v>987</v>
      </c>
      <c r="D80" s="287" t="s">
        <v>1077</v>
      </c>
      <c r="E80" s="436"/>
      <c r="F80" s="436"/>
      <c r="G80" s="436"/>
      <c r="H80" s="53"/>
      <c r="I80" s="53"/>
      <c r="J80" s="53"/>
      <c r="K80" s="53"/>
      <c r="L80" s="53"/>
      <c r="M80" s="53"/>
      <c r="N80" s="53"/>
    </row>
    <row r="81" spans="1:14" x14ac:dyDescent="0.4">
      <c r="A81" s="2"/>
      <c r="B81" s="533"/>
      <c r="C81" s="350" t="s">
        <v>1526</v>
      </c>
      <c r="D81" s="287">
        <v>5.77</v>
      </c>
      <c r="E81" s="436"/>
      <c r="F81" s="436"/>
      <c r="G81" s="436"/>
      <c r="H81" s="53"/>
      <c r="I81" s="53"/>
      <c r="J81" s="53"/>
      <c r="K81" s="53"/>
      <c r="L81" s="53"/>
      <c r="M81" s="53"/>
      <c r="N81" s="53"/>
    </row>
    <row r="82" spans="1:14" x14ac:dyDescent="0.4">
      <c r="A82" s="2"/>
      <c r="B82" s="533"/>
      <c r="C82" s="350" t="s">
        <v>1527</v>
      </c>
      <c r="D82" s="287">
        <v>2.21</v>
      </c>
      <c r="E82" s="436"/>
      <c r="F82" s="436"/>
      <c r="G82" s="436"/>
      <c r="H82" s="53"/>
      <c r="I82" s="53"/>
      <c r="J82" s="53"/>
      <c r="K82" s="53"/>
      <c r="L82" s="53"/>
      <c r="M82" s="53"/>
      <c r="N82" s="53"/>
    </row>
    <row r="83" spans="1:14" ht="26.5" x14ac:dyDescent="0.4">
      <c r="A83" s="2"/>
      <c r="B83" s="533"/>
      <c r="C83" s="350" t="s">
        <v>1528</v>
      </c>
      <c r="D83" s="287">
        <v>8.7200000000000006</v>
      </c>
      <c r="E83" s="436"/>
      <c r="F83" s="436"/>
      <c r="G83" s="436"/>
      <c r="H83" s="53"/>
      <c r="I83" s="53"/>
      <c r="J83" s="53"/>
      <c r="K83" s="53"/>
      <c r="L83" s="53"/>
      <c r="M83" s="53"/>
      <c r="N83" s="53"/>
    </row>
    <row r="84" spans="1:14" ht="26.5" x14ac:dyDescent="0.4">
      <c r="A84" s="2"/>
      <c r="B84" s="533"/>
      <c r="C84" s="350" t="s">
        <v>1529</v>
      </c>
      <c r="D84" s="287">
        <v>2.56</v>
      </c>
      <c r="E84" s="436"/>
      <c r="F84" s="436"/>
      <c r="G84" s="436"/>
      <c r="H84" s="53"/>
      <c r="I84" s="53"/>
      <c r="J84" s="53"/>
      <c r="K84" s="53"/>
      <c r="L84" s="53"/>
      <c r="M84" s="53"/>
      <c r="N84" s="53"/>
    </row>
    <row r="85" spans="1:14" x14ac:dyDescent="0.4">
      <c r="A85" s="2"/>
      <c r="B85" s="534"/>
      <c r="C85" s="207" t="s">
        <v>74</v>
      </c>
      <c r="D85" s="55">
        <f>(D81+D82+D83+D84)/4</f>
        <v>4.8149999999999995</v>
      </c>
      <c r="E85" s="436"/>
      <c r="F85" s="436"/>
      <c r="G85" s="436"/>
      <c r="H85" s="53"/>
      <c r="I85" s="53"/>
      <c r="J85" s="53"/>
      <c r="K85" s="53"/>
      <c r="L85" s="53"/>
      <c r="M85" s="53"/>
      <c r="N85" s="53"/>
    </row>
    <row r="86" spans="1:14" ht="25.65" x14ac:dyDescent="0.4">
      <c r="A86" s="2"/>
      <c r="B86" s="411" t="s">
        <v>75</v>
      </c>
      <c r="C86" s="207" t="s">
        <v>1525</v>
      </c>
      <c r="D86" s="287">
        <v>9.82</v>
      </c>
      <c r="E86" s="436"/>
      <c r="F86" s="436"/>
      <c r="G86" s="436"/>
      <c r="H86" s="53"/>
      <c r="I86" s="53"/>
      <c r="J86" s="53"/>
      <c r="K86" s="53"/>
      <c r="L86" s="53"/>
      <c r="M86" s="53"/>
      <c r="N86" s="53"/>
    </row>
    <row r="87" spans="1:14" x14ac:dyDescent="0.4">
      <c r="A87" s="2"/>
      <c r="B87" s="533"/>
      <c r="C87" s="207" t="s">
        <v>987</v>
      </c>
      <c r="D87" s="287" t="s">
        <v>1077</v>
      </c>
      <c r="E87" s="436"/>
      <c r="F87" s="436"/>
      <c r="G87" s="436"/>
      <c r="H87" s="53"/>
      <c r="I87" s="53"/>
      <c r="J87" s="53"/>
      <c r="K87" s="53"/>
      <c r="L87" s="53"/>
      <c r="M87" s="53"/>
      <c r="N87" s="53"/>
    </row>
    <row r="88" spans="1:14" x14ac:dyDescent="0.4">
      <c r="A88" s="2"/>
      <c r="B88" s="533"/>
      <c r="C88" s="350" t="s">
        <v>1526</v>
      </c>
      <c r="D88" s="287">
        <v>56.03</v>
      </c>
      <c r="E88" s="436"/>
      <c r="F88" s="436"/>
      <c r="G88" s="436"/>
      <c r="H88" s="53"/>
      <c r="I88" s="53"/>
      <c r="J88" s="53"/>
      <c r="K88" s="53"/>
      <c r="L88" s="53"/>
      <c r="M88" s="53"/>
      <c r="N88" s="53"/>
    </row>
    <row r="89" spans="1:14" x14ac:dyDescent="0.4">
      <c r="A89" s="2"/>
      <c r="B89" s="533"/>
      <c r="C89" s="350" t="s">
        <v>1527</v>
      </c>
      <c r="D89" s="287">
        <v>17.350000000000001</v>
      </c>
      <c r="E89" s="436"/>
      <c r="F89" s="436"/>
      <c r="G89" s="436"/>
      <c r="H89" s="53"/>
      <c r="I89" s="53"/>
      <c r="J89" s="53"/>
      <c r="K89" s="53"/>
      <c r="L89" s="53"/>
      <c r="M89" s="53"/>
      <c r="N89" s="53"/>
    </row>
    <row r="90" spans="1:14" ht="26.5" x14ac:dyDescent="0.4">
      <c r="A90" s="2"/>
      <c r="B90" s="533"/>
      <c r="C90" s="350" t="s">
        <v>1528</v>
      </c>
      <c r="D90" s="287">
        <v>15.77</v>
      </c>
      <c r="E90" s="436"/>
      <c r="F90" s="436"/>
      <c r="G90" s="436"/>
      <c r="H90" s="53"/>
      <c r="I90" s="53"/>
      <c r="J90" s="53"/>
      <c r="K90" s="53"/>
      <c r="L90" s="53"/>
      <c r="M90" s="53"/>
      <c r="N90" s="53"/>
    </row>
    <row r="91" spans="1:14" ht="26.5" x14ac:dyDescent="0.4">
      <c r="A91" s="2"/>
      <c r="B91" s="533"/>
      <c r="C91" s="350" t="s">
        <v>1529</v>
      </c>
      <c r="D91" s="287">
        <v>36.19</v>
      </c>
      <c r="E91" s="436"/>
      <c r="F91" s="436"/>
      <c r="G91" s="436"/>
      <c r="H91" s="53"/>
      <c r="I91" s="53"/>
      <c r="J91" s="53"/>
      <c r="K91" s="53"/>
      <c r="L91" s="53"/>
      <c r="M91" s="53"/>
      <c r="N91" s="53"/>
    </row>
    <row r="92" spans="1:14" x14ac:dyDescent="0.4">
      <c r="A92" s="2"/>
      <c r="B92" s="534"/>
      <c r="C92" s="207" t="s">
        <v>74</v>
      </c>
      <c r="D92" s="55">
        <f>(D88+D89+D90+D91)/4</f>
        <v>31.334999999999997</v>
      </c>
      <c r="E92" s="436"/>
      <c r="F92" s="436"/>
      <c r="G92" s="436"/>
      <c r="H92" s="53"/>
      <c r="I92" s="53"/>
      <c r="J92" s="53"/>
      <c r="K92" s="53"/>
      <c r="L92" s="53"/>
      <c r="M92" s="53"/>
      <c r="N92" s="53"/>
    </row>
    <row r="93" spans="1:14" ht="25.65" x14ac:dyDescent="0.4">
      <c r="A93" s="2"/>
      <c r="B93" s="411" t="s">
        <v>76</v>
      </c>
      <c r="C93" s="207" t="s">
        <v>1525</v>
      </c>
      <c r="D93" s="55">
        <v>18.07</v>
      </c>
      <c r="E93" s="436"/>
      <c r="F93" s="436"/>
      <c r="G93" s="436"/>
      <c r="H93" s="53"/>
      <c r="I93" s="53"/>
      <c r="J93" s="53"/>
      <c r="K93" s="53"/>
      <c r="L93" s="53"/>
      <c r="M93" s="53"/>
      <c r="N93" s="53"/>
    </row>
    <row r="94" spans="1:14" x14ac:dyDescent="0.4">
      <c r="A94" s="2"/>
      <c r="B94" s="533"/>
      <c r="C94" s="207" t="s">
        <v>987</v>
      </c>
      <c r="D94" s="287" t="s">
        <v>1077</v>
      </c>
      <c r="E94" s="436"/>
      <c r="F94" s="436"/>
      <c r="G94" s="436"/>
      <c r="H94" s="53"/>
      <c r="I94" s="53"/>
      <c r="J94" s="53"/>
      <c r="K94" s="53"/>
      <c r="L94" s="53"/>
      <c r="M94" s="53"/>
      <c r="N94" s="53"/>
    </row>
    <row r="95" spans="1:14" x14ac:dyDescent="0.4">
      <c r="A95" s="2"/>
      <c r="B95" s="533"/>
      <c r="C95" s="350" t="s">
        <v>1526</v>
      </c>
      <c r="D95" s="287">
        <v>17.8</v>
      </c>
      <c r="E95" s="436"/>
      <c r="F95" s="436"/>
      <c r="G95" s="436"/>
      <c r="H95" s="53"/>
      <c r="I95" s="53"/>
      <c r="J95" s="53"/>
      <c r="K95" s="53"/>
      <c r="L95" s="53"/>
      <c r="M95" s="53"/>
      <c r="N95" s="53"/>
    </row>
    <row r="96" spans="1:14" x14ac:dyDescent="0.4">
      <c r="A96" s="2"/>
      <c r="B96" s="533"/>
      <c r="C96" s="350" t="s">
        <v>1527</v>
      </c>
      <c r="D96" s="287">
        <v>19.48</v>
      </c>
      <c r="E96" s="436"/>
      <c r="F96" s="436"/>
      <c r="G96" s="436"/>
      <c r="H96" s="53"/>
      <c r="I96" s="53"/>
      <c r="J96" s="53"/>
      <c r="K96" s="53"/>
      <c r="L96" s="53"/>
      <c r="M96" s="53"/>
      <c r="N96" s="53"/>
    </row>
    <row r="97" spans="1:14" ht="26.5" x14ac:dyDescent="0.4">
      <c r="A97" s="2"/>
      <c r="B97" s="533"/>
      <c r="C97" s="350" t="s">
        <v>1528</v>
      </c>
      <c r="D97" s="287">
        <v>11.17</v>
      </c>
      <c r="E97" s="436"/>
      <c r="F97" s="436"/>
      <c r="G97" s="436"/>
      <c r="H97" s="53"/>
      <c r="I97" s="53"/>
      <c r="J97" s="53"/>
      <c r="K97" s="53"/>
      <c r="L97" s="53"/>
      <c r="M97" s="53"/>
      <c r="N97" s="53"/>
    </row>
    <row r="98" spans="1:14" ht="26.5" x14ac:dyDescent="0.4">
      <c r="A98" s="2"/>
      <c r="B98" s="533"/>
      <c r="C98" s="350" t="s">
        <v>1529</v>
      </c>
      <c r="D98" s="287">
        <v>8.6</v>
      </c>
      <c r="E98" s="436"/>
      <c r="F98" s="436"/>
      <c r="G98" s="436"/>
      <c r="H98" s="53"/>
      <c r="I98" s="53"/>
      <c r="J98" s="53"/>
      <c r="K98" s="53"/>
      <c r="L98" s="53"/>
      <c r="M98" s="53"/>
      <c r="N98" s="53"/>
    </row>
    <row r="99" spans="1:14" x14ac:dyDescent="0.4">
      <c r="A99" s="2"/>
      <c r="B99" s="534"/>
      <c r="C99" s="207" t="s">
        <v>74</v>
      </c>
      <c r="D99" s="55">
        <f>(D95+D96+D97+D98)/4</f>
        <v>14.262500000000001</v>
      </c>
      <c r="E99" s="436"/>
      <c r="F99" s="436"/>
      <c r="G99" s="436"/>
      <c r="H99" s="53"/>
      <c r="I99" s="53"/>
      <c r="J99" s="53"/>
      <c r="K99" s="53"/>
      <c r="L99" s="53"/>
      <c r="M99" s="53"/>
      <c r="N99" s="53"/>
    </row>
    <row r="100" spans="1:14" ht="25.65" x14ac:dyDescent="0.4">
      <c r="A100" s="2"/>
      <c r="B100" s="603" t="s">
        <v>77</v>
      </c>
      <c r="C100" s="207" t="s">
        <v>1525</v>
      </c>
      <c r="D100" s="287">
        <v>39.46</v>
      </c>
      <c r="E100" s="436"/>
      <c r="F100" s="436"/>
      <c r="G100" s="436"/>
      <c r="H100" s="53"/>
      <c r="I100" s="53"/>
      <c r="J100" s="53"/>
      <c r="K100" s="53"/>
      <c r="L100" s="53"/>
      <c r="M100" s="53"/>
      <c r="N100" s="53"/>
    </row>
    <row r="101" spans="1:14" x14ac:dyDescent="0.4">
      <c r="A101" s="2"/>
      <c r="B101" s="604"/>
      <c r="C101" s="207" t="s">
        <v>987</v>
      </c>
      <c r="D101" s="287" t="s">
        <v>1077</v>
      </c>
      <c r="E101" s="436"/>
      <c r="F101" s="436"/>
      <c r="G101" s="436"/>
      <c r="H101" s="53"/>
      <c r="I101" s="53"/>
      <c r="J101" s="53"/>
      <c r="K101" s="53"/>
      <c r="L101" s="53"/>
      <c r="M101" s="53"/>
      <c r="N101" s="53"/>
    </row>
    <row r="102" spans="1:14" x14ac:dyDescent="0.4">
      <c r="A102" s="2"/>
      <c r="B102" s="604"/>
      <c r="C102" s="350" t="s">
        <v>1526</v>
      </c>
      <c r="D102" s="287">
        <v>32.409999999999997</v>
      </c>
      <c r="E102" s="436"/>
      <c r="F102" s="436"/>
      <c r="G102" s="436"/>
      <c r="H102" s="53"/>
      <c r="I102" s="53"/>
      <c r="J102" s="53"/>
      <c r="K102" s="53"/>
      <c r="L102" s="53"/>
      <c r="M102" s="53"/>
      <c r="N102" s="53"/>
    </row>
    <row r="103" spans="1:14" x14ac:dyDescent="0.4">
      <c r="A103" s="2"/>
      <c r="B103" s="604"/>
      <c r="C103" s="350" t="s">
        <v>1527</v>
      </c>
      <c r="D103" s="287">
        <v>11.36</v>
      </c>
      <c r="E103" s="436"/>
      <c r="F103" s="436"/>
      <c r="G103" s="436"/>
      <c r="H103" s="53"/>
      <c r="I103" s="53"/>
      <c r="J103" s="53"/>
      <c r="K103" s="53"/>
      <c r="L103" s="53"/>
      <c r="M103" s="53"/>
      <c r="N103" s="53"/>
    </row>
    <row r="104" spans="1:14" ht="26.5" x14ac:dyDescent="0.4">
      <c r="A104" s="2"/>
      <c r="B104" s="604"/>
      <c r="C104" s="350" t="s">
        <v>1528</v>
      </c>
      <c r="D104" s="287">
        <v>64.239999999999995</v>
      </c>
      <c r="E104" s="436"/>
      <c r="F104" s="436"/>
      <c r="G104" s="436"/>
      <c r="H104" s="53"/>
      <c r="I104" s="53"/>
      <c r="J104" s="53"/>
      <c r="K104" s="53"/>
      <c r="L104" s="53"/>
      <c r="M104" s="53"/>
      <c r="N104" s="53"/>
    </row>
    <row r="105" spans="1:14" ht="26.5" x14ac:dyDescent="0.4">
      <c r="A105" s="2"/>
      <c r="B105" s="604"/>
      <c r="C105" s="350" t="s">
        <v>1529</v>
      </c>
      <c r="D105" s="287">
        <v>30.4</v>
      </c>
      <c r="E105" s="436"/>
      <c r="F105" s="436"/>
      <c r="G105" s="436"/>
      <c r="H105" s="53"/>
      <c r="I105" s="53"/>
      <c r="J105" s="53"/>
      <c r="K105" s="53"/>
      <c r="L105" s="53"/>
      <c r="M105" s="53"/>
      <c r="N105" s="53"/>
    </row>
    <row r="106" spans="1:14" ht="15.05" customHeight="1" x14ac:dyDescent="0.4">
      <c r="A106" s="2"/>
      <c r="B106" s="604"/>
      <c r="C106" s="3" t="s">
        <v>74</v>
      </c>
      <c r="D106" s="55">
        <f>(D102+D103+D104+D105)/4</f>
        <v>34.602499999999999</v>
      </c>
      <c r="E106" s="547"/>
      <c r="F106" s="547"/>
      <c r="G106" s="547"/>
      <c r="H106" s="53"/>
      <c r="I106" s="53"/>
      <c r="J106" s="53"/>
      <c r="K106" s="53"/>
      <c r="L106" s="53"/>
      <c r="M106" s="53"/>
      <c r="N106" s="53"/>
    </row>
    <row r="107" spans="1:14" ht="15.8" customHeight="1" x14ac:dyDescent="0.4">
      <c r="A107" s="8"/>
      <c r="B107" s="608" t="s">
        <v>1530</v>
      </c>
      <c r="C107" s="609"/>
      <c r="D107" s="609"/>
      <c r="E107" s="609"/>
      <c r="F107" s="609"/>
      <c r="G107" s="610"/>
      <c r="H107" s="53"/>
      <c r="I107" s="53"/>
      <c r="J107" s="8"/>
      <c r="K107" s="8"/>
      <c r="L107" s="8"/>
      <c r="M107" s="8"/>
      <c r="N107" s="8"/>
    </row>
    <row r="108" spans="1:14" ht="26.3" customHeight="1" x14ac:dyDescent="0.4">
      <c r="A108" s="9">
        <v>14</v>
      </c>
      <c r="B108" s="418" t="s">
        <v>85</v>
      </c>
      <c r="C108" s="419"/>
      <c r="D108" s="419"/>
      <c r="E108" s="419"/>
      <c r="F108" s="419"/>
      <c r="G108" s="420"/>
      <c r="H108" s="8"/>
      <c r="I108" s="8"/>
      <c r="J108" s="8"/>
      <c r="K108" s="8"/>
      <c r="L108" s="8"/>
      <c r="M108" s="8"/>
      <c r="N108" s="8"/>
    </row>
    <row r="109" spans="1:14" x14ac:dyDescent="0.4">
      <c r="A109" s="23"/>
      <c r="B109" s="61" t="s">
        <v>78</v>
      </c>
      <c r="C109" s="497" t="s">
        <v>41</v>
      </c>
      <c r="D109" s="497"/>
      <c r="E109" s="497"/>
      <c r="F109" s="497"/>
      <c r="G109" s="497"/>
      <c r="H109" s="8"/>
      <c r="I109" s="8"/>
      <c r="J109" s="8"/>
      <c r="K109" s="8"/>
      <c r="L109" s="8"/>
      <c r="M109" s="8"/>
      <c r="N109" s="8"/>
    </row>
    <row r="110" spans="1:14" x14ac:dyDescent="0.4">
      <c r="A110" s="8"/>
      <c r="B110" s="8"/>
      <c r="C110" s="10"/>
      <c r="D110" s="208"/>
      <c r="E110" s="200"/>
      <c r="F110" s="200"/>
      <c r="G110" s="200"/>
      <c r="H110" s="8"/>
      <c r="I110" s="8"/>
      <c r="J110" s="8"/>
      <c r="K110" s="8"/>
      <c r="L110" s="8"/>
      <c r="M110" s="8"/>
      <c r="N110" s="8"/>
    </row>
    <row r="111" spans="1:14" x14ac:dyDescent="0.4">
      <c r="B111" s="538" t="s">
        <v>1531</v>
      </c>
      <c r="C111" s="538"/>
      <c r="D111" s="538"/>
      <c r="E111" s="538"/>
      <c r="F111" s="538"/>
      <c r="G111" s="538"/>
    </row>
    <row r="112" spans="1:14" x14ac:dyDescent="0.4">
      <c r="C112" s="200"/>
    </row>
    <row r="113" spans="2:7" x14ac:dyDescent="0.4">
      <c r="B113" s="497" t="s">
        <v>1490</v>
      </c>
      <c r="C113" s="497"/>
      <c r="D113" s="497"/>
      <c r="E113" s="497"/>
      <c r="F113" s="497"/>
      <c r="G113" s="497"/>
    </row>
    <row r="114" spans="2:7" x14ac:dyDescent="0.4">
      <c r="C114" s="238"/>
    </row>
    <row r="115" spans="2:7" x14ac:dyDescent="0.4">
      <c r="C115" s="228"/>
      <c r="D115" s="228"/>
    </row>
    <row r="116" spans="2:7" x14ac:dyDescent="0.4">
      <c r="C116" s="228"/>
    </row>
  </sheetData>
  <sheetProtection algorithmName="SHA-512" hashValue="8zcNbuxLwL8gAPaNxksqhzydbFuMx+jyAWkCXD0oLxU2wPXUvclQJ1rxeKZ0nCSUpXBy0QRhKvSoksObck2qqA==" saltValue="gW3IAlrWOeppXDiYlHnVLA==" spinCount="100000" sheet="1" objects="1" scenarios="1"/>
  <mergeCells count="69">
    <mergeCell ref="B9:E9"/>
    <mergeCell ref="A1:B1"/>
    <mergeCell ref="C3:E3"/>
    <mergeCell ref="C5:E5"/>
    <mergeCell ref="B6:E6"/>
    <mergeCell ref="C8:E8"/>
    <mergeCell ref="B25:E25"/>
    <mergeCell ref="C11:E11"/>
    <mergeCell ref="B12:E12"/>
    <mergeCell ref="C14:E14"/>
    <mergeCell ref="B15:E15"/>
    <mergeCell ref="B17:E17"/>
    <mergeCell ref="C18:E18"/>
    <mergeCell ref="C19:E19"/>
    <mergeCell ref="C20:E20"/>
    <mergeCell ref="C21:E21"/>
    <mergeCell ref="C22:E22"/>
    <mergeCell ref="B24:E24"/>
    <mergeCell ref="C42:E42"/>
    <mergeCell ref="C27:C30"/>
    <mergeCell ref="D27:D30"/>
    <mergeCell ref="E27:E30"/>
    <mergeCell ref="B31:E31"/>
    <mergeCell ref="B33:E33"/>
    <mergeCell ref="C34:E34"/>
    <mergeCell ref="C35:E35"/>
    <mergeCell ref="C36:E36"/>
    <mergeCell ref="B39:E39"/>
    <mergeCell ref="C40:E40"/>
    <mergeCell ref="C41:E41"/>
    <mergeCell ref="C62:E62"/>
    <mergeCell ref="B43:E43"/>
    <mergeCell ref="B45:E45"/>
    <mergeCell ref="B48:E48"/>
    <mergeCell ref="B50:E50"/>
    <mergeCell ref="B51:B52"/>
    <mergeCell ref="C51:E52"/>
    <mergeCell ref="C53:E53"/>
    <mergeCell ref="C54:E54"/>
    <mergeCell ref="B55:E55"/>
    <mergeCell ref="B56:E56"/>
    <mergeCell ref="C58:E58"/>
    <mergeCell ref="B72:N72"/>
    <mergeCell ref="B64:B65"/>
    <mergeCell ref="C64:C65"/>
    <mergeCell ref="D64:D65"/>
    <mergeCell ref="E64:E65"/>
    <mergeCell ref="F64:H64"/>
    <mergeCell ref="I64:K64"/>
    <mergeCell ref="L64:N64"/>
    <mergeCell ref="C68:N68"/>
    <mergeCell ref="B69:N69"/>
    <mergeCell ref="B70:N70"/>
    <mergeCell ref="B71:N71"/>
    <mergeCell ref="B73:N73"/>
    <mergeCell ref="B74:N74"/>
    <mergeCell ref="B76:G76"/>
    <mergeCell ref="B79:B85"/>
    <mergeCell ref="E79:E106"/>
    <mergeCell ref="F79:F106"/>
    <mergeCell ref="G79:G106"/>
    <mergeCell ref="B86:B92"/>
    <mergeCell ref="B93:B99"/>
    <mergeCell ref="B100:B106"/>
    <mergeCell ref="B107:G107"/>
    <mergeCell ref="B108:G108"/>
    <mergeCell ref="C109:G109"/>
    <mergeCell ref="B111:G111"/>
    <mergeCell ref="B113:G113"/>
  </mergeCells>
  <pageMargins left="0.7" right="0.7" top="0.75" bottom="0.75" header="0.3" footer="0.3"/>
  <pageSetup paperSize="8" scale="88" orientation="landscape" verticalDpi="0" r:id="rId1"/>
  <rowBreaks count="1" manualBreakCount="1">
    <brk id="68"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10"/>
  <sheetViews>
    <sheetView topLeftCell="E55"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28.07421875" style="8" customWidth="1"/>
    <col min="5" max="5" width="22.3046875" style="8" customWidth="1"/>
    <col min="6" max="6" width="19.84375" style="8" customWidth="1"/>
    <col min="7" max="7" width="22.3046875" style="8" customWidth="1"/>
    <col min="8" max="16384" width="8.84375" style="8"/>
  </cols>
  <sheetData>
    <row r="1" spans="1:5" ht="14.35" customHeight="1" x14ac:dyDescent="0.4">
      <c r="A1" s="355" t="s">
        <v>0</v>
      </c>
      <c r="B1" s="355"/>
      <c r="D1" s="1"/>
    </row>
    <row r="3" spans="1:5" x14ac:dyDescent="0.4">
      <c r="A3" s="2" t="s">
        <v>1</v>
      </c>
      <c r="B3" s="3" t="s">
        <v>2</v>
      </c>
      <c r="C3" s="4" t="s">
        <v>240</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x14ac:dyDescent="0.4">
      <c r="A8" s="9">
        <v>2</v>
      </c>
      <c r="B8" s="7" t="s">
        <v>6</v>
      </c>
      <c r="C8" s="12" t="s">
        <v>241</v>
      </c>
      <c r="D8" s="5"/>
    </row>
    <row r="9" spans="1:5" ht="16.25" customHeight="1" x14ac:dyDescent="0.4">
      <c r="A9" s="9"/>
      <c r="B9" s="360" t="s">
        <v>5</v>
      </c>
      <c r="C9" s="361"/>
      <c r="D9" s="362"/>
    </row>
    <row r="10" spans="1:5" x14ac:dyDescent="0.4">
      <c r="A10" s="9"/>
      <c r="B10" s="11"/>
      <c r="D10" s="5"/>
    </row>
    <row r="11" spans="1:5" ht="25.65"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x14ac:dyDescent="0.4">
      <c r="A14" s="9">
        <v>4</v>
      </c>
      <c r="B14" s="3" t="s">
        <v>9</v>
      </c>
      <c r="C14" s="4" t="s">
        <v>242</v>
      </c>
      <c r="D14" s="5"/>
    </row>
    <row r="15" spans="1:5"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243</v>
      </c>
      <c r="C19" s="354" t="s">
        <v>13</v>
      </c>
      <c r="D19" s="354"/>
      <c r="E19" s="354"/>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x14ac:dyDescent="0.4">
      <c r="A26" s="9">
        <v>6</v>
      </c>
      <c r="B26" s="365" t="s">
        <v>18</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202</v>
      </c>
      <c r="D28" s="18" t="s">
        <v>22</v>
      </c>
      <c r="E28" s="18" t="s">
        <v>23</v>
      </c>
      <c r="F28" s="15"/>
    </row>
    <row r="29" spans="1:14" ht="12.7" customHeight="1" x14ac:dyDescent="0.4">
      <c r="A29" s="9"/>
      <c r="B29" s="19" t="s">
        <v>24</v>
      </c>
      <c r="C29" s="21">
        <v>4087.78</v>
      </c>
      <c r="D29" s="21">
        <v>5012.04</v>
      </c>
      <c r="E29" s="119">
        <v>5568.31</v>
      </c>
      <c r="F29" s="15"/>
    </row>
    <row r="30" spans="1:14" x14ac:dyDescent="0.4">
      <c r="A30" s="9"/>
      <c r="B30" s="19" t="s">
        <v>25</v>
      </c>
      <c r="C30" s="21">
        <v>68.44</v>
      </c>
      <c r="D30" s="21">
        <v>300.58999999999997</v>
      </c>
      <c r="E30" s="119">
        <v>647.79</v>
      </c>
      <c r="F30" s="15"/>
    </row>
    <row r="31" spans="1:14" x14ac:dyDescent="0.4">
      <c r="A31" s="9"/>
      <c r="B31" s="19" t="s">
        <v>26</v>
      </c>
      <c r="C31" s="21">
        <v>820</v>
      </c>
      <c r="D31" s="21">
        <v>820</v>
      </c>
      <c r="E31" s="119">
        <v>820</v>
      </c>
      <c r="F31" s="15"/>
    </row>
    <row r="32" spans="1:14" x14ac:dyDescent="0.4">
      <c r="A32" s="9"/>
      <c r="B32" s="19" t="s">
        <v>27</v>
      </c>
      <c r="C32" s="21">
        <v>1550.88</v>
      </c>
      <c r="D32" s="21">
        <v>1851.47</v>
      </c>
      <c r="E32" s="119">
        <v>2499.27</v>
      </c>
      <c r="F32" s="15"/>
    </row>
    <row r="33" spans="1:10" x14ac:dyDescent="0.4">
      <c r="A33" s="9"/>
      <c r="B33" s="363" t="s">
        <v>228</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79</v>
      </c>
      <c r="D43" s="374"/>
      <c r="E43" s="375"/>
      <c r="F43" s="13"/>
    </row>
    <row r="44" spans="1:10" ht="27.05" customHeight="1" x14ac:dyDescent="0.4">
      <c r="A44" s="9"/>
      <c r="B44" s="17" t="s">
        <v>31</v>
      </c>
      <c r="C44" s="446" t="s">
        <v>735</v>
      </c>
      <c r="D44" s="446"/>
      <c r="E44" s="446"/>
      <c r="F44" s="13"/>
    </row>
    <row r="45" spans="1:10" x14ac:dyDescent="0.4">
      <c r="A45" s="9"/>
      <c r="B45" s="17" t="s">
        <v>32</v>
      </c>
      <c r="C45" s="446" t="s">
        <v>734</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76.55" customHeight="1" x14ac:dyDescent="0.4">
      <c r="A50" s="29"/>
      <c r="B50" s="78" t="s">
        <v>245</v>
      </c>
      <c r="C50" s="78" t="s">
        <v>246</v>
      </c>
      <c r="D50" s="78" t="s">
        <v>246</v>
      </c>
      <c r="E50" s="114" t="s">
        <v>84</v>
      </c>
    </row>
    <row r="51" spans="1:12" x14ac:dyDescent="0.4">
      <c r="A51" s="29"/>
      <c r="B51" s="377"/>
      <c r="C51" s="378"/>
      <c r="D51" s="378"/>
      <c r="E51" s="379"/>
    </row>
    <row r="52" spans="1:12" x14ac:dyDescent="0.4">
      <c r="A52" s="31"/>
      <c r="B52" s="380" t="s">
        <v>170</v>
      </c>
      <c r="C52" s="381"/>
      <c r="D52" s="381"/>
      <c r="E52" s="382"/>
      <c r="F52" s="15"/>
      <c r="G52" s="15"/>
      <c r="H52" s="15"/>
    </row>
    <row r="53" spans="1:12" x14ac:dyDescent="0.4">
      <c r="A53" s="32"/>
      <c r="B53" s="62"/>
      <c r="C53" s="23"/>
      <c r="D53" s="23"/>
      <c r="E53" s="23"/>
      <c r="F53" s="15"/>
      <c r="G53" s="15"/>
      <c r="H53" s="15"/>
      <c r="I53" s="15"/>
    </row>
    <row r="54" spans="1:12" x14ac:dyDescent="0.4">
      <c r="A54" s="24">
        <v>10</v>
      </c>
      <c r="B54" s="376" t="s">
        <v>36</v>
      </c>
      <c r="C54" s="365"/>
      <c r="D54" s="365"/>
      <c r="E54" s="365"/>
      <c r="F54" s="15"/>
      <c r="G54" s="15"/>
      <c r="H54" s="15"/>
    </row>
    <row r="55" spans="1:12" ht="26.3" customHeight="1" x14ac:dyDescent="0.4">
      <c r="A55" s="29"/>
      <c r="B55" s="383" t="s">
        <v>43</v>
      </c>
      <c r="C55" s="385" t="s">
        <v>248</v>
      </c>
      <c r="D55" s="386"/>
      <c r="E55" s="387"/>
      <c r="K55" s="1"/>
    </row>
    <row r="56" spans="1:12" x14ac:dyDescent="0.4">
      <c r="A56" s="29"/>
      <c r="B56" s="384"/>
      <c r="C56" s="388"/>
      <c r="D56" s="389"/>
      <c r="E56" s="390"/>
      <c r="K56" s="1"/>
    </row>
    <row r="57" spans="1:12" ht="42" customHeight="1" x14ac:dyDescent="0.4">
      <c r="A57" s="24"/>
      <c r="B57" s="33" t="s">
        <v>44</v>
      </c>
      <c r="C57" s="391" t="s">
        <v>248</v>
      </c>
      <c r="D57" s="391"/>
      <c r="E57" s="391"/>
    </row>
    <row r="58" spans="1:12" x14ac:dyDescent="0.4">
      <c r="A58" s="29"/>
      <c r="B58" s="33" t="s">
        <v>45</v>
      </c>
      <c r="C58" s="391" t="s">
        <v>46</v>
      </c>
      <c r="D58" s="391"/>
      <c r="E58" s="391"/>
      <c r="K58" s="34"/>
    </row>
    <row r="59" spans="1:12" x14ac:dyDescent="0.4">
      <c r="A59" s="29"/>
      <c r="B59" s="380" t="s">
        <v>247</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249</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250</v>
      </c>
      <c r="D69" s="366" t="s">
        <v>251</v>
      </c>
      <c r="E69" s="403" t="s">
        <v>252</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42</v>
      </c>
      <c r="D71" s="45">
        <v>63</v>
      </c>
      <c r="E71" s="45">
        <v>75</v>
      </c>
      <c r="F71" s="45">
        <v>59</v>
      </c>
      <c r="G71" s="45">
        <v>81</v>
      </c>
      <c r="H71" s="45">
        <v>40</v>
      </c>
      <c r="I71" s="45">
        <v>27.15</v>
      </c>
      <c r="J71" s="45">
        <v>71.650000000000006</v>
      </c>
      <c r="K71" s="45">
        <v>26.7</v>
      </c>
      <c r="L71" s="45">
        <v>29</v>
      </c>
      <c r="M71" s="45">
        <v>44.9</v>
      </c>
      <c r="N71" s="45">
        <v>18.55</v>
      </c>
    </row>
    <row r="72" spans="1:14" ht="25.65" x14ac:dyDescent="0.35">
      <c r="A72" s="2"/>
      <c r="B72" s="17" t="s">
        <v>104</v>
      </c>
      <c r="C72" s="45">
        <v>8520.4</v>
      </c>
      <c r="D72" s="45">
        <v>8111.6</v>
      </c>
      <c r="E72" s="45">
        <v>8400.5</v>
      </c>
      <c r="F72" s="45">
        <v>9143.7999999999993</v>
      </c>
      <c r="G72" s="45">
        <v>8407.2000000000007</v>
      </c>
      <c r="H72" s="45">
        <v>8677.9</v>
      </c>
      <c r="I72" s="46">
        <v>10113.700000000001</v>
      </c>
      <c r="J72" s="46">
        <v>11171.55</v>
      </c>
      <c r="K72" s="48">
        <v>9075.15</v>
      </c>
      <c r="L72" s="45">
        <v>11623.9</v>
      </c>
      <c r="M72" s="45">
        <v>11760.2</v>
      </c>
      <c r="N72" s="45">
        <v>10004.549999999999</v>
      </c>
    </row>
    <row r="73" spans="1:14" x14ac:dyDescent="0.4">
      <c r="A73" s="2"/>
      <c r="B73" s="399" t="s">
        <v>253</v>
      </c>
      <c r="C73" s="400"/>
      <c r="D73" s="400"/>
      <c r="E73" s="400"/>
      <c r="F73" s="399"/>
      <c r="G73" s="399"/>
      <c r="H73" s="399"/>
      <c r="I73" s="399"/>
      <c r="J73" s="399"/>
      <c r="K73" s="399"/>
      <c r="L73" s="399"/>
      <c r="M73" s="399"/>
      <c r="N73" s="399"/>
    </row>
    <row r="74" spans="1:14" x14ac:dyDescent="0.4">
      <c r="A74" s="2"/>
      <c r="B74" s="401" t="s">
        <v>94</v>
      </c>
      <c r="C74" s="401"/>
      <c r="D74" s="401"/>
      <c r="E74" s="401"/>
      <c r="F74" s="401"/>
      <c r="G74" s="401"/>
      <c r="H74" s="401"/>
      <c r="I74" s="401"/>
      <c r="J74" s="401"/>
      <c r="K74" s="401"/>
      <c r="L74" s="401"/>
      <c r="M74" s="401"/>
      <c r="N74" s="401"/>
    </row>
    <row r="75" spans="1:14" x14ac:dyDescent="0.4">
      <c r="A75" s="2"/>
      <c r="B75" s="359" t="s">
        <v>63</v>
      </c>
      <c r="C75" s="359"/>
      <c r="D75" s="359"/>
      <c r="E75" s="359"/>
      <c r="F75" s="359"/>
      <c r="G75" s="359"/>
      <c r="H75" s="359"/>
      <c r="I75" s="359"/>
      <c r="J75" s="359"/>
      <c r="K75" s="359"/>
      <c r="L75" s="359"/>
      <c r="M75" s="359"/>
      <c r="N75" s="359"/>
    </row>
    <row r="76" spans="1:14" s="1" customFormat="1" x14ac:dyDescent="0.4">
      <c r="B76" s="359" t="s">
        <v>64</v>
      </c>
      <c r="C76" s="359"/>
      <c r="D76" s="359"/>
      <c r="E76" s="359"/>
      <c r="F76" s="359"/>
      <c r="G76" s="359"/>
      <c r="H76" s="359"/>
      <c r="I76" s="359"/>
      <c r="J76" s="359"/>
      <c r="K76" s="359"/>
      <c r="L76" s="359"/>
      <c r="M76" s="359"/>
      <c r="N76" s="359"/>
    </row>
    <row r="77" spans="1:14" x14ac:dyDescent="0.4">
      <c r="A77" s="2"/>
      <c r="B77" s="359" t="s">
        <v>80</v>
      </c>
      <c r="C77" s="359"/>
      <c r="D77" s="359"/>
      <c r="E77" s="359"/>
      <c r="F77" s="359"/>
      <c r="G77" s="359"/>
      <c r="H77" s="359"/>
      <c r="I77" s="359"/>
      <c r="J77" s="359"/>
      <c r="K77" s="359"/>
      <c r="L77" s="359"/>
      <c r="M77" s="359"/>
      <c r="N77" s="359"/>
    </row>
    <row r="78" spans="1:14" x14ac:dyDescent="0.4">
      <c r="A78" s="2"/>
      <c r="B78" s="359" t="s">
        <v>65</v>
      </c>
      <c r="C78" s="359"/>
      <c r="D78" s="359"/>
      <c r="E78" s="359"/>
      <c r="F78" s="359"/>
      <c r="G78" s="359"/>
      <c r="H78" s="359"/>
      <c r="I78" s="359"/>
      <c r="J78" s="359"/>
      <c r="K78" s="359"/>
      <c r="L78" s="359"/>
      <c r="M78" s="359"/>
      <c r="N78" s="359"/>
    </row>
    <row r="79" spans="1:14" x14ac:dyDescent="0.4">
      <c r="A79" s="2"/>
      <c r="B79" s="49"/>
      <c r="C79" s="49"/>
      <c r="D79" s="49"/>
      <c r="E79" s="49"/>
      <c r="F79" s="49"/>
      <c r="G79" s="13"/>
      <c r="H79" s="13"/>
      <c r="I79" s="13"/>
      <c r="J79" s="13"/>
      <c r="K79" s="13"/>
      <c r="L79" s="13"/>
      <c r="M79" s="13"/>
      <c r="N79" s="13"/>
    </row>
    <row r="80" spans="1:14" x14ac:dyDescent="0.4">
      <c r="A80" s="9">
        <v>13</v>
      </c>
      <c r="B80" s="405" t="s">
        <v>66</v>
      </c>
      <c r="C80" s="406"/>
      <c r="D80" s="406"/>
      <c r="E80" s="406"/>
      <c r="F80" s="406"/>
      <c r="G80" s="376"/>
      <c r="H80" s="11"/>
      <c r="I80" s="11"/>
      <c r="J80" s="11"/>
      <c r="K80" s="11"/>
      <c r="L80" s="11"/>
      <c r="M80" s="11"/>
      <c r="N80" s="11"/>
    </row>
    <row r="81" spans="1:14" x14ac:dyDescent="0.4">
      <c r="A81" s="9"/>
      <c r="C81" s="15"/>
      <c r="D81" s="15"/>
      <c r="E81" s="15"/>
      <c r="F81" s="15"/>
      <c r="G81" s="15"/>
      <c r="H81" s="15"/>
      <c r="I81" s="15"/>
      <c r="J81" s="15"/>
      <c r="K81" s="15"/>
      <c r="L81" s="15"/>
      <c r="M81" s="15"/>
      <c r="N81" s="15"/>
    </row>
    <row r="82" spans="1:14" ht="51.25" x14ac:dyDescent="0.4">
      <c r="A82" s="2"/>
      <c r="B82" s="50" t="s">
        <v>67</v>
      </c>
      <c r="C82" s="18" t="s">
        <v>68</v>
      </c>
      <c r="D82" s="18" t="s">
        <v>69</v>
      </c>
      <c r="E82" s="18" t="s">
        <v>218</v>
      </c>
      <c r="F82" s="18" t="s">
        <v>71</v>
      </c>
      <c r="G82" s="18" t="s">
        <v>107</v>
      </c>
      <c r="H82" s="13"/>
      <c r="I82" s="13"/>
      <c r="J82" s="13"/>
      <c r="K82" s="13"/>
      <c r="L82" s="13"/>
      <c r="M82" s="13"/>
      <c r="N82" s="13"/>
    </row>
    <row r="83" spans="1:14" ht="12.7" customHeight="1" x14ac:dyDescent="0.35">
      <c r="A83" s="2"/>
      <c r="B83" s="394" t="s">
        <v>72</v>
      </c>
      <c r="C83" s="3" t="s">
        <v>254</v>
      </c>
      <c r="D83" s="65">
        <v>9.56</v>
      </c>
      <c r="E83" s="66">
        <v>0.83</v>
      </c>
      <c r="F83" s="66">
        <v>3.67</v>
      </c>
      <c r="G83" s="96">
        <v>7.9</v>
      </c>
      <c r="H83" s="53"/>
      <c r="I83" s="53"/>
      <c r="J83" s="53"/>
      <c r="K83" s="53"/>
      <c r="L83" s="53"/>
      <c r="M83" s="53"/>
      <c r="N83" s="53"/>
    </row>
    <row r="84" spans="1:14" x14ac:dyDescent="0.4">
      <c r="A84" s="2"/>
      <c r="B84" s="394"/>
      <c r="C84" s="3" t="s">
        <v>73</v>
      </c>
      <c r="D84" s="76" t="s">
        <v>84</v>
      </c>
      <c r="E84" s="124" t="s">
        <v>84</v>
      </c>
      <c r="F84" s="124" t="s">
        <v>84</v>
      </c>
      <c r="G84" s="124" t="s">
        <v>84</v>
      </c>
      <c r="H84" s="53"/>
      <c r="I84" s="53"/>
      <c r="J84" s="53"/>
      <c r="K84" s="53"/>
      <c r="L84" s="53"/>
      <c r="M84" s="53"/>
      <c r="N84" s="53"/>
    </row>
    <row r="85" spans="1:14" x14ac:dyDescent="0.4">
      <c r="A85" s="2"/>
      <c r="B85" s="394"/>
      <c r="C85" s="21" t="s">
        <v>255</v>
      </c>
      <c r="D85" s="76">
        <v>4.4000000000000004</v>
      </c>
      <c r="E85" s="66">
        <v>3.13</v>
      </c>
      <c r="F85" s="66">
        <v>2.4500000000000002</v>
      </c>
      <c r="G85" s="96">
        <v>10.64</v>
      </c>
      <c r="H85" s="53"/>
      <c r="I85" s="53"/>
      <c r="J85" s="53"/>
      <c r="K85" s="53"/>
      <c r="L85" s="53"/>
      <c r="M85" s="53"/>
      <c r="N85" s="53"/>
    </row>
    <row r="86" spans="1:14" x14ac:dyDescent="0.4">
      <c r="A86" s="2"/>
      <c r="B86" s="394"/>
      <c r="C86" s="21" t="s">
        <v>256</v>
      </c>
      <c r="D86" s="76">
        <v>4.9000000000000004</v>
      </c>
      <c r="E86" s="66">
        <v>5.0599999999999996</v>
      </c>
      <c r="F86" s="103">
        <v>0</v>
      </c>
      <c r="G86" s="103">
        <v>0</v>
      </c>
      <c r="H86" s="53"/>
      <c r="I86" s="53"/>
      <c r="J86" s="53"/>
      <c r="K86" s="53"/>
      <c r="L86" s="53"/>
      <c r="M86" s="53"/>
      <c r="N86" s="53"/>
    </row>
    <row r="87" spans="1:14" x14ac:dyDescent="0.4">
      <c r="A87" s="2"/>
      <c r="B87" s="394"/>
      <c r="C87" s="3" t="s">
        <v>74</v>
      </c>
      <c r="D87" s="127">
        <f>D85+D86/2</f>
        <v>6.8500000000000005</v>
      </c>
      <c r="E87" s="128">
        <f>E85+E86/2</f>
        <v>5.66</v>
      </c>
      <c r="F87" s="128">
        <f>F85+F86/2</f>
        <v>2.4500000000000002</v>
      </c>
      <c r="G87" s="128">
        <f>G85+G86/2</f>
        <v>10.64</v>
      </c>
      <c r="H87" s="53"/>
      <c r="I87" s="53"/>
      <c r="J87" s="53"/>
      <c r="K87" s="53"/>
      <c r="L87" s="53"/>
      <c r="M87" s="53"/>
      <c r="N87" s="53"/>
    </row>
    <row r="88" spans="1:14" x14ac:dyDescent="0.35">
      <c r="A88" s="2"/>
      <c r="B88" s="394" t="s">
        <v>75</v>
      </c>
      <c r="C88" s="3" t="s">
        <v>254</v>
      </c>
      <c r="D88" s="77">
        <v>3.66</v>
      </c>
      <c r="E88" s="66">
        <v>71.08</v>
      </c>
      <c r="F88" s="70">
        <f>27.15/3.67</f>
        <v>7.3978201634877383</v>
      </c>
      <c r="G88" s="45">
        <f>L71/G83</f>
        <v>3.6708860759493671</v>
      </c>
      <c r="H88" s="53"/>
      <c r="I88" s="53"/>
      <c r="J88" s="53"/>
      <c r="K88" s="53"/>
      <c r="L88" s="53"/>
      <c r="M88" s="53"/>
      <c r="N88" s="53"/>
    </row>
    <row r="89" spans="1:14" x14ac:dyDescent="0.4">
      <c r="A89" s="2"/>
      <c r="B89" s="394"/>
      <c r="C89" s="3" t="s">
        <v>73</v>
      </c>
      <c r="D89" s="76" t="s">
        <v>84</v>
      </c>
      <c r="E89" s="66"/>
      <c r="F89" s="66"/>
      <c r="G89" s="96"/>
      <c r="H89" s="53"/>
      <c r="I89" s="53"/>
      <c r="J89" s="53"/>
      <c r="K89" s="53"/>
      <c r="L89" s="53"/>
      <c r="M89" s="53"/>
      <c r="N89" s="53"/>
    </row>
    <row r="90" spans="1:14" x14ac:dyDescent="0.4">
      <c r="A90" s="2"/>
      <c r="B90" s="394"/>
      <c r="C90" s="21" t="s">
        <v>255</v>
      </c>
      <c r="D90" s="76">
        <v>14.4</v>
      </c>
      <c r="E90" s="66">
        <v>24.36</v>
      </c>
      <c r="F90" s="70">
        <f>116.85/2.45</f>
        <v>47.6938775510204</v>
      </c>
      <c r="G90" s="125">
        <f>138.45/G85</f>
        <v>13.01221804511278</v>
      </c>
      <c r="H90" s="53"/>
      <c r="I90" s="53"/>
      <c r="J90" s="53"/>
      <c r="K90" s="53"/>
      <c r="L90" s="53"/>
      <c r="M90" s="53"/>
      <c r="N90" s="53"/>
    </row>
    <row r="91" spans="1:14" x14ac:dyDescent="0.4">
      <c r="A91" s="2"/>
      <c r="B91" s="394"/>
      <c r="C91" s="21" t="s">
        <v>256</v>
      </c>
      <c r="D91" s="76">
        <v>33.9</v>
      </c>
      <c r="E91" s="66">
        <v>25.54</v>
      </c>
      <c r="F91" s="103">
        <v>0</v>
      </c>
      <c r="G91" s="96">
        <v>0</v>
      </c>
      <c r="H91" s="53"/>
      <c r="I91" s="53"/>
      <c r="J91" s="53"/>
      <c r="K91" s="53"/>
      <c r="L91" s="53"/>
      <c r="M91" s="53"/>
      <c r="N91" s="53"/>
    </row>
    <row r="92" spans="1:14" x14ac:dyDescent="0.4">
      <c r="A92" s="2"/>
      <c r="B92" s="394"/>
      <c r="C92" s="3" t="s">
        <v>74</v>
      </c>
      <c r="D92" s="127">
        <f>D90+D91/2</f>
        <v>31.35</v>
      </c>
      <c r="E92" s="128">
        <f>E90+E91/2</f>
        <v>37.129999999999995</v>
      </c>
      <c r="F92" s="128">
        <f>F90+F91/2</f>
        <v>47.6938775510204</v>
      </c>
      <c r="G92" s="128">
        <f>G90+G91/2</f>
        <v>13.01221804511278</v>
      </c>
      <c r="H92" s="53"/>
      <c r="I92" s="53"/>
      <c r="J92" s="53"/>
      <c r="K92" s="53"/>
      <c r="L92" s="53"/>
      <c r="M92" s="53"/>
      <c r="N92" s="53"/>
    </row>
    <row r="93" spans="1:14" x14ac:dyDescent="0.35">
      <c r="A93" s="2"/>
      <c r="B93" s="394" t="s">
        <v>76</v>
      </c>
      <c r="C93" s="3" t="s">
        <v>254</v>
      </c>
      <c r="D93" s="65">
        <v>37.6</v>
      </c>
      <c r="E93" s="66">
        <v>2.89</v>
      </c>
      <c r="F93" s="71">
        <f>6844090/267147963</f>
        <v>2.5619098581709941E-2</v>
      </c>
      <c r="G93" s="45">
        <f>64778950/331926913*100</f>
        <v>19.516028216729747</v>
      </c>
      <c r="H93" s="53"/>
      <c r="I93" s="53"/>
      <c r="J93" s="53"/>
      <c r="K93" s="53"/>
      <c r="L93" s="53"/>
      <c r="M93" s="53"/>
      <c r="N93" s="53"/>
    </row>
    <row r="94" spans="1:14" x14ac:dyDescent="0.4">
      <c r="A94" s="2"/>
      <c r="B94" s="394"/>
      <c r="C94" s="3" t="s">
        <v>73</v>
      </c>
      <c r="D94" s="76" t="s">
        <v>84</v>
      </c>
      <c r="E94" s="66"/>
      <c r="F94" s="66"/>
      <c r="G94" s="96"/>
      <c r="H94" s="53"/>
      <c r="I94" s="53"/>
      <c r="J94" s="53"/>
      <c r="K94" s="53"/>
      <c r="L94" s="53"/>
      <c r="M94" s="53"/>
      <c r="N94" s="53"/>
    </row>
    <row r="95" spans="1:14" x14ac:dyDescent="0.4">
      <c r="A95" s="2"/>
      <c r="B95" s="394"/>
      <c r="C95" s="21" t="s">
        <v>255</v>
      </c>
      <c r="D95" s="76">
        <v>1.7</v>
      </c>
      <c r="E95" s="66">
        <v>2.42</v>
      </c>
      <c r="F95" s="71">
        <f>706.7/37936.53</f>
        <v>1.8628482889710789E-2</v>
      </c>
      <c r="G95" s="45">
        <f>3056.83/41000.87*100</f>
        <v>7.4555247242314602</v>
      </c>
      <c r="H95" s="53"/>
      <c r="I95" s="53"/>
      <c r="J95" s="53"/>
      <c r="K95" s="53"/>
      <c r="L95" s="53"/>
      <c r="M95" s="53"/>
      <c r="N95" s="53"/>
    </row>
    <row r="96" spans="1:14" x14ac:dyDescent="0.4">
      <c r="A96" s="2"/>
      <c r="B96" s="394"/>
      <c r="C96" s="21" t="s">
        <v>256</v>
      </c>
      <c r="D96" s="76">
        <v>14.3</v>
      </c>
      <c r="E96" s="66">
        <v>10.28</v>
      </c>
      <c r="F96" s="103">
        <v>0</v>
      </c>
      <c r="G96" s="96">
        <v>0</v>
      </c>
      <c r="H96" s="53"/>
      <c r="I96" s="53"/>
      <c r="J96" s="53"/>
      <c r="K96" s="53"/>
      <c r="L96" s="53"/>
      <c r="M96" s="53"/>
      <c r="N96" s="53"/>
    </row>
    <row r="97" spans="1:14" x14ac:dyDescent="0.4">
      <c r="A97" s="2"/>
      <c r="B97" s="394"/>
      <c r="C97" s="3" t="s">
        <v>74</v>
      </c>
      <c r="D97" s="127">
        <f>D95+D96/2</f>
        <v>8.85</v>
      </c>
      <c r="E97" s="128">
        <f>E95+E96/2</f>
        <v>7.56</v>
      </c>
      <c r="F97" s="128">
        <f>F95+F96/2</f>
        <v>1.8628482889710789E-2</v>
      </c>
      <c r="G97" s="128">
        <f>G95+G96/2</f>
        <v>7.4555247242314602</v>
      </c>
      <c r="H97" s="53"/>
      <c r="I97" s="53"/>
      <c r="J97" s="53"/>
      <c r="K97" s="57"/>
      <c r="L97" s="53"/>
      <c r="M97" s="53"/>
      <c r="N97" s="53"/>
    </row>
    <row r="98" spans="1:14" x14ac:dyDescent="0.35">
      <c r="A98" s="2"/>
      <c r="B98" s="394" t="s">
        <v>77</v>
      </c>
      <c r="C98" s="3" t="s">
        <v>254</v>
      </c>
      <c r="D98" s="65">
        <v>76.31</v>
      </c>
      <c r="E98" s="66">
        <v>28.91</v>
      </c>
      <c r="F98" s="70">
        <f>267147963/8200000</f>
        <v>32.579019878048783</v>
      </c>
      <c r="G98" s="45">
        <f>331926913/8200000</f>
        <v>40.478891829268292</v>
      </c>
      <c r="H98" s="53"/>
      <c r="I98" s="53"/>
      <c r="J98" s="53"/>
      <c r="K98" s="53"/>
      <c r="L98" s="53"/>
      <c r="M98" s="53"/>
      <c r="N98" s="53"/>
    </row>
    <row r="99" spans="1:14" x14ac:dyDescent="0.4">
      <c r="A99" s="2"/>
      <c r="B99" s="394"/>
      <c r="C99" s="3" t="s">
        <v>73</v>
      </c>
      <c r="D99" s="76" t="s">
        <v>84</v>
      </c>
      <c r="E99" s="66"/>
      <c r="F99" s="66"/>
      <c r="G99" s="96"/>
      <c r="H99" s="53"/>
      <c r="I99" s="53"/>
      <c r="J99" s="53"/>
      <c r="K99" s="53"/>
      <c r="L99" s="53"/>
      <c r="M99" s="53"/>
      <c r="N99" s="53"/>
    </row>
    <row r="100" spans="1:14" x14ac:dyDescent="0.4">
      <c r="A100" s="2"/>
      <c r="B100" s="411"/>
      <c r="C100" s="21" t="s">
        <v>255</v>
      </c>
      <c r="D100" s="76">
        <v>127.6</v>
      </c>
      <c r="E100" s="66">
        <v>129.37</v>
      </c>
      <c r="F100" s="70">
        <f>37936.53/287.993</f>
        <v>131.7272642043383</v>
      </c>
      <c r="G100" s="45">
        <f>(41000.87*100000)/28799300</f>
        <v>142.36759226786765</v>
      </c>
      <c r="H100" s="53"/>
      <c r="I100" s="53"/>
      <c r="J100" s="53"/>
      <c r="K100" s="53"/>
      <c r="L100" s="53"/>
      <c r="M100" s="53"/>
      <c r="N100" s="53"/>
    </row>
    <row r="101" spans="1:14" x14ac:dyDescent="0.4">
      <c r="A101" s="2"/>
      <c r="B101" s="411"/>
      <c r="C101" s="21" t="s">
        <v>256</v>
      </c>
      <c r="D101" s="76">
        <v>46</v>
      </c>
      <c r="E101" s="66">
        <v>49.25</v>
      </c>
      <c r="F101" s="103">
        <v>0</v>
      </c>
      <c r="G101" s="103">
        <v>0</v>
      </c>
      <c r="H101" s="53"/>
      <c r="I101" s="53"/>
      <c r="J101" s="53"/>
      <c r="K101" s="53"/>
      <c r="L101" s="53"/>
      <c r="M101" s="53"/>
      <c r="N101" s="53"/>
    </row>
    <row r="102" spans="1:14" x14ac:dyDescent="0.4">
      <c r="A102" s="2"/>
      <c r="B102" s="411"/>
      <c r="C102" s="3" t="s">
        <v>74</v>
      </c>
      <c r="D102" s="127">
        <f>D100+D101/2</f>
        <v>150.6</v>
      </c>
      <c r="E102" s="128">
        <f>E100+E101/2</f>
        <v>153.995</v>
      </c>
      <c r="F102" s="128">
        <f>F100+F101/2</f>
        <v>131.7272642043383</v>
      </c>
      <c r="G102" s="128">
        <f>G100+G101/2</f>
        <v>142.36759226786765</v>
      </c>
      <c r="H102" s="53"/>
      <c r="I102" s="53"/>
      <c r="J102" s="53"/>
      <c r="K102" s="53"/>
      <c r="L102" s="53"/>
      <c r="M102" s="53"/>
      <c r="N102" s="53"/>
    </row>
    <row r="103" spans="1:14" s="1" customFormat="1" x14ac:dyDescent="0.4">
      <c r="B103" s="412"/>
      <c r="C103" s="413"/>
      <c r="D103" s="413"/>
      <c r="E103" s="413"/>
      <c r="F103" s="413"/>
      <c r="G103" s="414"/>
    </row>
    <row r="104" spans="1:14" x14ac:dyDescent="0.4">
      <c r="A104" s="2"/>
      <c r="B104" s="415" t="s">
        <v>257</v>
      </c>
      <c r="C104" s="416"/>
      <c r="D104" s="416"/>
      <c r="E104" s="416"/>
      <c r="F104" s="416"/>
      <c r="G104" s="417"/>
      <c r="H104" s="53"/>
      <c r="I104" s="53"/>
      <c r="J104" s="53"/>
      <c r="K104" s="53"/>
      <c r="L104" s="53"/>
      <c r="M104" s="53"/>
      <c r="N104" s="53"/>
    </row>
    <row r="105" spans="1:14" x14ac:dyDescent="0.4">
      <c r="A105" s="2"/>
      <c r="B105" s="418" t="s">
        <v>85</v>
      </c>
      <c r="C105" s="419"/>
      <c r="D105" s="419"/>
      <c r="E105" s="419"/>
      <c r="F105" s="419"/>
      <c r="G105" s="420"/>
      <c r="H105" s="53"/>
      <c r="I105" s="53"/>
      <c r="J105" s="53"/>
      <c r="K105" s="53"/>
      <c r="L105" s="53"/>
      <c r="M105" s="53"/>
      <c r="N105" s="53"/>
    </row>
    <row r="106" spans="1:14" x14ac:dyDescent="0.4">
      <c r="A106" s="2"/>
      <c r="B106" s="363"/>
      <c r="C106" s="368"/>
      <c r="D106" s="368"/>
      <c r="E106" s="368"/>
      <c r="F106" s="368"/>
      <c r="G106" s="369"/>
      <c r="H106" s="53"/>
      <c r="I106" s="53"/>
      <c r="J106" s="53"/>
      <c r="K106" s="53"/>
      <c r="L106" s="53"/>
      <c r="M106" s="53"/>
      <c r="N106" s="53"/>
    </row>
    <row r="107" spans="1:14" x14ac:dyDescent="0.4">
      <c r="C107" s="407"/>
      <c r="D107" s="407"/>
      <c r="E107" s="407"/>
      <c r="F107" s="407"/>
      <c r="G107" s="407"/>
      <c r="H107" s="53"/>
      <c r="I107" s="53"/>
    </row>
    <row r="108" spans="1:14" x14ac:dyDescent="0.4">
      <c r="A108" s="9">
        <v>14</v>
      </c>
      <c r="B108" s="61" t="s">
        <v>78</v>
      </c>
      <c r="C108" s="356" t="s">
        <v>41</v>
      </c>
      <c r="D108" s="357"/>
      <c r="E108" s="357"/>
      <c r="F108" s="357"/>
      <c r="G108" s="408"/>
    </row>
    <row r="109" spans="1:14" x14ac:dyDescent="0.4">
      <c r="A109" s="23"/>
      <c r="C109" s="69"/>
      <c r="D109" s="69"/>
      <c r="E109" s="69"/>
      <c r="F109" s="69"/>
      <c r="G109" s="69"/>
    </row>
    <row r="110" spans="1:14" x14ac:dyDescent="0.4">
      <c r="B110" s="409" t="s">
        <v>258</v>
      </c>
      <c r="C110" s="410"/>
      <c r="D110" s="410"/>
      <c r="E110" s="410"/>
      <c r="F110" s="410"/>
      <c r="G110" s="410"/>
      <c r="H110" s="410"/>
    </row>
  </sheetData>
  <sheetProtection password="E9DF" sheet="1" objects="1" scenarios="1"/>
  <mergeCells count="60">
    <mergeCell ref="B88:B92"/>
    <mergeCell ref="B93:B97"/>
    <mergeCell ref="B98:B102"/>
    <mergeCell ref="B110:H110"/>
    <mergeCell ref="B103:G103"/>
    <mergeCell ref="B104:G104"/>
    <mergeCell ref="B105:G105"/>
    <mergeCell ref="B106:G106"/>
    <mergeCell ref="C107:G107"/>
    <mergeCell ref="C108:G108"/>
    <mergeCell ref="B76:N76"/>
    <mergeCell ref="B77:N77"/>
    <mergeCell ref="B78:N78"/>
    <mergeCell ref="B80:G80"/>
    <mergeCell ref="B83:B87"/>
    <mergeCell ref="B75:N75"/>
    <mergeCell ref="C57:E57"/>
    <mergeCell ref="C58:E58"/>
    <mergeCell ref="B59:E59"/>
    <mergeCell ref="B60:E60"/>
    <mergeCell ref="C63:E63"/>
    <mergeCell ref="B69:B70"/>
    <mergeCell ref="C69:C70"/>
    <mergeCell ref="D69:D70"/>
    <mergeCell ref="E69:E70"/>
    <mergeCell ref="F69:H69"/>
    <mergeCell ref="I69:K69"/>
    <mergeCell ref="L69:N69"/>
    <mergeCell ref="B73:N73"/>
    <mergeCell ref="B74:N74"/>
    <mergeCell ref="B55:B56"/>
    <mergeCell ref="C55:E56"/>
    <mergeCell ref="B35:E35"/>
    <mergeCell ref="B39:C39"/>
    <mergeCell ref="B42:E42"/>
    <mergeCell ref="C43:E43"/>
    <mergeCell ref="C44:E44"/>
    <mergeCell ref="C45:E45"/>
    <mergeCell ref="B46:E46"/>
    <mergeCell ref="B48:E48"/>
    <mergeCell ref="B51:E51"/>
    <mergeCell ref="B52:E52"/>
    <mergeCell ref="B54:E54"/>
    <mergeCell ref="B33:E33"/>
    <mergeCell ref="B15:C15"/>
    <mergeCell ref="B17:E17"/>
    <mergeCell ref="C18:E18"/>
    <mergeCell ref="C19:E19"/>
    <mergeCell ref="C20:E20"/>
    <mergeCell ref="C21:E21"/>
    <mergeCell ref="C22:E22"/>
    <mergeCell ref="B23:E23"/>
    <mergeCell ref="B26:E26"/>
    <mergeCell ref="B27:E27"/>
    <mergeCell ref="B12:D12"/>
    <mergeCell ref="A1:B1"/>
    <mergeCell ref="C5:E5"/>
    <mergeCell ref="B6:D6"/>
    <mergeCell ref="B9:D9"/>
    <mergeCell ref="C11:E11"/>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82BF7-3F3E-45BB-88C6-9A5A8701A563}">
  <dimension ref="A1:N101"/>
  <sheetViews>
    <sheetView view="pageBreakPreview" zoomScale="72" zoomScaleNormal="100" zoomScalePageLayoutView="50" workbookViewId="0">
      <selection activeCell="I75" sqref="I75"/>
    </sheetView>
  </sheetViews>
  <sheetFormatPr defaultRowHeight="14.6" x14ac:dyDescent="0.4"/>
  <cols>
    <col min="1" max="1" width="6.4609375" bestFit="1" customWidth="1"/>
    <col min="2" max="2" width="46" bestFit="1" customWidth="1"/>
    <col min="3" max="3" width="22.69140625" customWidth="1"/>
    <col min="4" max="4" width="18.07421875" customWidth="1"/>
    <col min="5" max="5" width="18.69140625" customWidth="1"/>
    <col min="6" max="6" width="9.3046875" bestFit="1" customWidth="1"/>
    <col min="7" max="8" width="10.3046875" bestFit="1" customWidth="1"/>
    <col min="9" max="9" width="7.07421875" bestFit="1" customWidth="1"/>
    <col min="10" max="10" width="9.07421875" bestFit="1" customWidth="1"/>
    <col min="11"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25.85" customHeight="1" x14ac:dyDescent="0.4">
      <c r="A3" s="2" t="s">
        <v>1</v>
      </c>
      <c r="B3" s="3" t="s">
        <v>2</v>
      </c>
      <c r="C3" s="497" t="s">
        <v>1608</v>
      </c>
      <c r="D3" s="497"/>
      <c r="E3" s="497"/>
      <c r="F3" s="353"/>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1609</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1610</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1611</v>
      </c>
      <c r="D14" s="497"/>
      <c r="E14" s="497"/>
      <c r="F14" s="351"/>
      <c r="G14" s="8"/>
      <c r="H14" s="8"/>
      <c r="I14" s="8"/>
      <c r="J14" s="8"/>
      <c r="K14" s="8"/>
      <c r="L14" s="8"/>
      <c r="M14" s="8"/>
      <c r="N14" s="8"/>
    </row>
    <row r="15" spans="1:14" x14ac:dyDescent="0.4">
      <c r="A15" s="9"/>
      <c r="B15" s="480" t="s">
        <v>10</v>
      </c>
      <c r="C15" s="480"/>
      <c r="D15" s="480"/>
      <c r="E15" s="480"/>
      <c r="F15" s="351"/>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3" t="s">
        <v>12</v>
      </c>
      <c r="C18" s="454">
        <v>0.12529999999999999</v>
      </c>
      <c r="D18" s="447"/>
      <c r="E18" s="447"/>
      <c r="F18" s="351"/>
      <c r="G18" s="13"/>
      <c r="H18" s="13"/>
      <c r="I18" s="13"/>
      <c r="J18" s="13"/>
      <c r="K18" s="13"/>
      <c r="L18" s="13"/>
      <c r="M18" s="13"/>
      <c r="N18" s="13"/>
    </row>
    <row r="19" spans="1:14" ht="25.65" x14ac:dyDescent="0.4">
      <c r="A19" s="9"/>
      <c r="B19" s="14" t="s">
        <v>1494</v>
      </c>
      <c r="C19" s="447" t="s">
        <v>1592</v>
      </c>
      <c r="D19" s="447"/>
      <c r="E19" s="447"/>
      <c r="F19" s="15"/>
      <c r="G19" s="13" t="s">
        <v>693</v>
      </c>
      <c r="H19" s="8"/>
      <c r="I19" s="13"/>
      <c r="J19" s="13"/>
      <c r="K19" s="13"/>
      <c r="L19" s="13"/>
      <c r="M19" s="13"/>
      <c r="N19" s="13"/>
    </row>
    <row r="20" spans="1:14" x14ac:dyDescent="0.4">
      <c r="A20" s="9"/>
      <c r="B20" s="14" t="s">
        <v>605</v>
      </c>
      <c r="C20" s="447" t="s">
        <v>319</v>
      </c>
      <c r="D20" s="447"/>
      <c r="E20" s="44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15"/>
      <c r="C23" s="15"/>
      <c r="D23" s="170"/>
      <c r="E23" s="15"/>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1612</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v>8</v>
      </c>
      <c r="B38" s="365" t="s">
        <v>1084</v>
      </c>
      <c r="C38" s="365"/>
      <c r="D38" s="365"/>
      <c r="E38" s="365"/>
      <c r="F38" s="11"/>
      <c r="G38" s="11"/>
      <c r="H38" s="11"/>
      <c r="I38" s="11"/>
      <c r="J38" s="11"/>
      <c r="K38" s="8"/>
      <c r="L38" s="8"/>
      <c r="M38" s="8"/>
      <c r="N38" s="8"/>
    </row>
    <row r="39" spans="1:14" ht="15.05" customHeight="1" x14ac:dyDescent="0.4">
      <c r="A39" s="9"/>
      <c r="B39" s="17" t="s">
        <v>34</v>
      </c>
      <c r="C39" s="446" t="s">
        <v>319</v>
      </c>
      <c r="D39" s="446"/>
      <c r="E39" s="446"/>
      <c r="F39" s="13"/>
      <c r="G39" s="8"/>
      <c r="H39" s="8"/>
      <c r="I39" s="8"/>
      <c r="J39" s="8"/>
      <c r="K39" s="8"/>
      <c r="L39" s="8"/>
      <c r="M39" s="8"/>
      <c r="N39" s="8"/>
    </row>
    <row r="40" spans="1:14" ht="14.35" customHeight="1" x14ac:dyDescent="0.4">
      <c r="A40" s="9"/>
      <c r="B40" s="17" t="s">
        <v>31</v>
      </c>
      <c r="C40" s="446" t="s">
        <v>320</v>
      </c>
      <c r="D40" s="446"/>
      <c r="E40" s="446"/>
      <c r="F40" s="13"/>
      <c r="G40" s="8"/>
      <c r="H40" s="8"/>
      <c r="I40" s="8"/>
      <c r="J40" s="8"/>
      <c r="K40" s="8"/>
      <c r="L40" s="8"/>
      <c r="M40" s="8"/>
      <c r="N40" s="8"/>
    </row>
    <row r="41" spans="1:14" ht="14.35" customHeight="1" x14ac:dyDescent="0.4">
      <c r="A41" s="9"/>
      <c r="B41" s="17" t="s">
        <v>32</v>
      </c>
      <c r="C41" s="446" t="s">
        <v>201</v>
      </c>
      <c r="D41" s="446"/>
      <c r="E41" s="446"/>
      <c r="F41" s="13"/>
      <c r="G41" s="8"/>
      <c r="H41" s="8"/>
      <c r="I41" s="8"/>
      <c r="J41" s="8"/>
      <c r="K41" s="8"/>
      <c r="L41" s="8"/>
      <c r="M41" s="8"/>
      <c r="N41" s="8"/>
    </row>
    <row r="42" spans="1:14" x14ac:dyDescent="0.4">
      <c r="A42" s="9"/>
      <c r="B42" s="363" t="s">
        <v>848</v>
      </c>
      <c r="C42" s="368"/>
      <c r="D42" s="368"/>
      <c r="E42" s="369"/>
      <c r="F42" s="13"/>
      <c r="G42" s="8"/>
      <c r="H42" s="8"/>
      <c r="I42" s="8"/>
      <c r="J42" s="8"/>
      <c r="K42" s="8"/>
      <c r="L42" s="8"/>
      <c r="M42" s="8"/>
      <c r="N42" s="8"/>
    </row>
    <row r="43" spans="1:14" x14ac:dyDescent="0.4">
      <c r="A43" s="2"/>
      <c r="B43" s="8"/>
      <c r="C43" s="8"/>
      <c r="D43" s="173"/>
      <c r="E43" s="13"/>
      <c r="F43" s="8"/>
      <c r="G43" s="8"/>
      <c r="H43" s="8"/>
      <c r="I43" s="8"/>
      <c r="J43" s="8"/>
      <c r="K43" s="8"/>
      <c r="L43" s="8"/>
      <c r="M43" s="8"/>
      <c r="N43" s="8"/>
    </row>
    <row r="44" spans="1:14" x14ac:dyDescent="0.4">
      <c r="A44" s="24">
        <v>9</v>
      </c>
      <c r="B44" s="376" t="s">
        <v>1085</v>
      </c>
      <c r="C44" s="365"/>
      <c r="D44" s="365"/>
      <c r="E44" s="365"/>
      <c r="F44" s="25"/>
      <c r="G44" s="11"/>
      <c r="H44" s="11"/>
      <c r="I44" s="11"/>
      <c r="J44" s="8"/>
      <c r="K44" s="8"/>
      <c r="L44" s="8"/>
      <c r="M44" s="8"/>
      <c r="N44" s="8"/>
    </row>
    <row r="45" spans="1:14" ht="38.450000000000003" x14ac:dyDescent="0.4">
      <c r="A45" s="24"/>
      <c r="B45" s="26" t="s">
        <v>37</v>
      </c>
      <c r="C45" s="27" t="s">
        <v>38</v>
      </c>
      <c r="D45" s="174" t="s">
        <v>39</v>
      </c>
      <c r="E45" s="27" t="s">
        <v>206</v>
      </c>
      <c r="F45" s="8"/>
      <c r="G45" s="8"/>
      <c r="H45" s="8"/>
      <c r="I45" s="8"/>
      <c r="J45" s="8"/>
      <c r="K45" s="8"/>
      <c r="L45" s="8"/>
      <c r="M45" s="8"/>
      <c r="N45" s="8"/>
    </row>
    <row r="46" spans="1:14" ht="145.80000000000001" x14ac:dyDescent="0.4">
      <c r="A46" s="29"/>
      <c r="B46" s="349" t="s">
        <v>1613</v>
      </c>
      <c r="C46" s="349" t="s">
        <v>1614</v>
      </c>
      <c r="D46" s="78" t="s">
        <v>1596</v>
      </c>
      <c r="E46" s="117" t="s">
        <v>186</v>
      </c>
      <c r="F46" s="8"/>
      <c r="G46" s="8"/>
      <c r="H46" s="8"/>
      <c r="I46" s="8"/>
      <c r="J46" s="8"/>
      <c r="K46" s="8"/>
      <c r="L46" s="8"/>
      <c r="M46" s="8"/>
      <c r="N46" s="8"/>
    </row>
    <row r="47" spans="1:14" x14ac:dyDescent="0.4">
      <c r="A47" s="31"/>
      <c r="B47" s="380" t="s">
        <v>1615</v>
      </c>
      <c r="C47" s="381"/>
      <c r="D47" s="381"/>
      <c r="E47" s="382"/>
      <c r="F47" s="15"/>
      <c r="G47" s="15"/>
      <c r="H47" s="15"/>
      <c r="I47" s="8"/>
      <c r="J47" s="8"/>
      <c r="K47" s="8"/>
      <c r="L47" s="8"/>
      <c r="M47" s="8"/>
      <c r="N47" s="8"/>
    </row>
    <row r="48" spans="1:14" x14ac:dyDescent="0.4">
      <c r="A48" s="32"/>
      <c r="B48" s="62"/>
      <c r="C48" s="23"/>
      <c r="D48" s="173"/>
      <c r="E48" s="23"/>
      <c r="F48" s="15"/>
      <c r="G48" s="15"/>
      <c r="H48" s="15"/>
      <c r="I48" s="15"/>
      <c r="J48" s="8"/>
      <c r="K48" s="8"/>
      <c r="L48" s="8"/>
      <c r="M48" s="8"/>
      <c r="N48" s="8"/>
    </row>
    <row r="49" spans="1:14" x14ac:dyDescent="0.4">
      <c r="A49" s="24">
        <v>10</v>
      </c>
      <c r="B49" s="376" t="s">
        <v>1085</v>
      </c>
      <c r="C49" s="365"/>
      <c r="D49" s="365"/>
      <c r="E49" s="365"/>
      <c r="F49" s="15"/>
      <c r="G49" s="15"/>
      <c r="H49" s="15"/>
      <c r="I49" s="8"/>
      <c r="J49" s="8"/>
      <c r="K49" s="8"/>
      <c r="L49" s="8"/>
      <c r="M49" s="8"/>
      <c r="N49" s="8"/>
    </row>
    <row r="50" spans="1:14" ht="21.75" customHeight="1" x14ac:dyDescent="0.4">
      <c r="A50" s="29"/>
      <c r="B50" s="383" t="s">
        <v>43</v>
      </c>
      <c r="C50" s="519" t="s">
        <v>1614</v>
      </c>
      <c r="D50" s="520"/>
      <c r="E50" s="634"/>
      <c r="F50" s="8"/>
      <c r="G50" s="8"/>
      <c r="H50" s="8"/>
      <c r="I50" s="8"/>
      <c r="J50" s="8"/>
      <c r="K50" s="1"/>
      <c r="L50" s="8"/>
      <c r="M50" s="8"/>
      <c r="N50" s="8"/>
    </row>
    <row r="51" spans="1:14" ht="35.450000000000003" customHeight="1" x14ac:dyDescent="0.4">
      <c r="A51" s="29"/>
      <c r="B51" s="384"/>
      <c r="C51" s="555"/>
      <c r="D51" s="556"/>
      <c r="E51" s="557"/>
      <c r="F51" s="8"/>
      <c r="G51" s="8"/>
      <c r="H51" s="8"/>
      <c r="I51" s="8"/>
      <c r="J51" s="8"/>
      <c r="K51" s="1"/>
      <c r="L51" s="8"/>
      <c r="M51" s="8"/>
      <c r="N51" s="8"/>
    </row>
    <row r="52" spans="1:14" ht="63.05" customHeight="1" x14ac:dyDescent="0.4">
      <c r="A52" s="24"/>
      <c r="B52" s="33" t="s">
        <v>44</v>
      </c>
      <c r="C52" s="391" t="s">
        <v>1596</v>
      </c>
      <c r="D52" s="391"/>
      <c r="E52" s="391"/>
      <c r="F52" s="8"/>
      <c r="G52" s="8"/>
      <c r="H52" s="8"/>
      <c r="I52" s="8"/>
      <c r="J52" s="8"/>
      <c r="K52" s="8"/>
      <c r="L52" s="8"/>
      <c r="M52" s="8"/>
      <c r="N52" s="8"/>
    </row>
    <row r="53" spans="1:14" x14ac:dyDescent="0.4">
      <c r="A53" s="29"/>
      <c r="B53" s="33" t="s">
        <v>45</v>
      </c>
      <c r="C53" s="471" t="s">
        <v>46</v>
      </c>
      <c r="D53" s="472"/>
      <c r="E53" s="473"/>
      <c r="F53" s="8"/>
      <c r="G53" s="8"/>
      <c r="H53" s="8"/>
      <c r="I53" s="8"/>
      <c r="J53" s="8"/>
      <c r="K53" s="34"/>
      <c r="L53" s="8"/>
      <c r="M53" s="8"/>
      <c r="N53" s="8"/>
    </row>
    <row r="54" spans="1:14" ht="14.35" customHeight="1" x14ac:dyDescent="0.4">
      <c r="A54" s="29"/>
      <c r="B54" s="380" t="s">
        <v>1615</v>
      </c>
      <c r="C54" s="381"/>
      <c r="D54" s="381"/>
      <c r="E54" s="382"/>
      <c r="F54" s="8"/>
      <c r="G54" s="8"/>
      <c r="H54" s="8"/>
      <c r="I54" s="8"/>
      <c r="J54" s="8"/>
      <c r="K54" s="34"/>
      <c r="L54" s="8"/>
      <c r="M54" s="8"/>
      <c r="N54" s="8"/>
    </row>
    <row r="55" spans="1:14" x14ac:dyDescent="0.4">
      <c r="A55" s="35" t="s">
        <v>47</v>
      </c>
      <c r="B55" s="392" t="s">
        <v>48</v>
      </c>
      <c r="C55" s="392"/>
      <c r="D55" s="392"/>
      <c r="E55" s="392"/>
      <c r="F55" s="63"/>
      <c r="G55" s="63"/>
      <c r="H55" s="63"/>
      <c r="I55" s="63"/>
      <c r="J55" s="63"/>
      <c r="K55" s="63"/>
      <c r="L55" s="63"/>
      <c r="M55" s="63"/>
      <c r="N55" s="63"/>
    </row>
    <row r="56" spans="1:14" x14ac:dyDescent="0.4">
      <c r="A56" s="40"/>
      <c r="B56" s="41"/>
      <c r="C56" s="42"/>
      <c r="D56" s="175"/>
      <c r="E56" s="42"/>
      <c r="F56" s="42"/>
      <c r="G56" s="230"/>
      <c r="H56" s="230"/>
      <c r="I56" s="8"/>
      <c r="J56" s="8"/>
      <c r="K56" s="8"/>
      <c r="L56" s="8"/>
      <c r="M56" s="8"/>
      <c r="N56" s="8"/>
    </row>
    <row r="57" spans="1:14" x14ac:dyDescent="0.4">
      <c r="A57" s="9">
        <v>11</v>
      </c>
      <c r="B57" s="3" t="s">
        <v>49</v>
      </c>
      <c r="C57" s="580" t="s">
        <v>851</v>
      </c>
      <c r="D57" s="580"/>
      <c r="E57" s="580"/>
      <c r="F57" s="11"/>
      <c r="G57" s="11"/>
      <c r="H57" s="43"/>
      <c r="I57" s="11"/>
      <c r="J57" s="11"/>
      <c r="K57" s="8"/>
      <c r="L57" s="8"/>
      <c r="M57" s="8"/>
      <c r="N57" s="8"/>
    </row>
    <row r="58" spans="1:14" x14ac:dyDescent="0.4">
      <c r="A58" s="9"/>
      <c r="B58" s="15"/>
      <c r="C58" s="15"/>
      <c r="D58" s="170"/>
      <c r="E58" s="15"/>
      <c r="F58" s="15"/>
      <c r="G58" s="15"/>
      <c r="H58" s="44"/>
      <c r="I58" s="44"/>
      <c r="J58" s="15"/>
      <c r="K58" s="8"/>
      <c r="L58" s="8"/>
      <c r="M58" s="8"/>
      <c r="N58" s="8"/>
    </row>
    <row r="59" spans="1:14" x14ac:dyDescent="0.4">
      <c r="A59" s="9">
        <v>12</v>
      </c>
      <c r="B59" s="11" t="s">
        <v>51</v>
      </c>
      <c r="C59" s="11"/>
      <c r="D59" s="176"/>
      <c r="E59" s="43"/>
      <c r="F59" s="43"/>
      <c r="G59" s="11"/>
      <c r="H59" s="11"/>
      <c r="I59" s="11"/>
      <c r="J59" s="11"/>
      <c r="K59" s="11"/>
      <c r="L59" s="11"/>
      <c r="M59" s="11"/>
      <c r="N59" s="11"/>
    </row>
    <row r="60" spans="1:14" x14ac:dyDescent="0.4">
      <c r="A60" s="9"/>
      <c r="B60" s="11"/>
      <c r="C60" s="11"/>
      <c r="D60" s="176"/>
      <c r="E60" s="43"/>
      <c r="F60" s="43"/>
      <c r="G60" s="43"/>
      <c r="H60" s="11"/>
      <c r="I60" s="11"/>
      <c r="J60" s="11"/>
      <c r="K60" s="11"/>
      <c r="L60" s="11"/>
      <c r="M60" s="11"/>
      <c r="N60" s="11"/>
    </row>
    <row r="61" spans="1:14" x14ac:dyDescent="0.4">
      <c r="A61" s="9"/>
      <c r="B61" s="17" t="s">
        <v>52</v>
      </c>
      <c r="C61" s="446" t="s">
        <v>1616</v>
      </c>
      <c r="D61" s="446"/>
      <c r="E61" s="446"/>
      <c r="F61" s="44"/>
      <c r="G61" s="44"/>
      <c r="H61" s="15"/>
      <c r="I61" s="15"/>
      <c r="J61" s="15"/>
      <c r="K61" s="15"/>
      <c r="L61" s="15"/>
      <c r="M61" s="15"/>
      <c r="N61" s="15"/>
    </row>
    <row r="62" spans="1:14" x14ac:dyDescent="0.4">
      <c r="A62" s="9"/>
      <c r="B62" s="15"/>
      <c r="C62" s="15"/>
      <c r="D62" s="236"/>
      <c r="E62" s="118"/>
      <c r="F62" s="15"/>
      <c r="G62" s="15"/>
      <c r="H62" s="118"/>
      <c r="I62" s="15"/>
      <c r="J62" s="118"/>
      <c r="K62" s="15"/>
      <c r="L62" s="15"/>
      <c r="M62" s="15"/>
      <c r="N62" s="15"/>
    </row>
    <row r="63" spans="1:14" x14ac:dyDescent="0.4">
      <c r="A63" s="9"/>
      <c r="B63" s="365" t="s">
        <v>53</v>
      </c>
      <c r="C63" s="366" t="s">
        <v>1617</v>
      </c>
      <c r="D63" s="558" t="s">
        <v>1618</v>
      </c>
      <c r="E63" s="403" t="s">
        <v>232</v>
      </c>
      <c r="F63" s="395" t="s">
        <v>626</v>
      </c>
      <c r="G63" s="396"/>
      <c r="H63" s="397"/>
      <c r="I63" s="398" t="s">
        <v>55</v>
      </c>
      <c r="J63" s="398"/>
      <c r="K63" s="398"/>
      <c r="L63" s="398" t="s">
        <v>56</v>
      </c>
      <c r="M63" s="398"/>
      <c r="N63" s="398"/>
    </row>
    <row r="64" spans="1:14" ht="38.450000000000003" x14ac:dyDescent="0.4">
      <c r="A64" s="2"/>
      <c r="B64" s="365"/>
      <c r="C64" s="402"/>
      <c r="D64" s="559"/>
      <c r="E64" s="404"/>
      <c r="F64" s="17" t="s">
        <v>57</v>
      </c>
      <c r="G64" s="17" t="s">
        <v>58</v>
      </c>
      <c r="H64" s="17" t="s">
        <v>59</v>
      </c>
      <c r="I64" s="17" t="s">
        <v>60</v>
      </c>
      <c r="J64" s="17" t="s">
        <v>58</v>
      </c>
      <c r="K64" s="17" t="s">
        <v>59</v>
      </c>
      <c r="L64" s="17" t="s">
        <v>60</v>
      </c>
      <c r="M64" s="17" t="s">
        <v>58</v>
      </c>
      <c r="N64" s="17" t="s">
        <v>59</v>
      </c>
    </row>
    <row r="65" spans="1:14" x14ac:dyDescent="0.4">
      <c r="A65" s="2"/>
      <c r="B65" s="17" t="s">
        <v>61</v>
      </c>
      <c r="C65" s="284">
        <v>199.5</v>
      </c>
      <c r="D65" s="101">
        <v>231.3</v>
      </c>
      <c r="E65" s="101" t="s">
        <v>1189</v>
      </c>
      <c r="F65" s="101" t="s">
        <v>41</v>
      </c>
      <c r="G65" s="101" t="s">
        <v>41</v>
      </c>
      <c r="H65" s="101" t="s">
        <v>41</v>
      </c>
      <c r="I65" s="101" t="s">
        <v>41</v>
      </c>
      <c r="J65" s="101" t="s">
        <v>41</v>
      </c>
      <c r="K65" s="101" t="s">
        <v>41</v>
      </c>
      <c r="L65" s="101" t="s">
        <v>41</v>
      </c>
      <c r="M65" s="101" t="s">
        <v>41</v>
      </c>
      <c r="N65" s="101" t="s">
        <v>41</v>
      </c>
    </row>
    <row r="66" spans="1:14" x14ac:dyDescent="0.4">
      <c r="A66" s="2"/>
      <c r="B66" s="17" t="s">
        <v>216</v>
      </c>
      <c r="C66" s="146">
        <v>71356.600000000006</v>
      </c>
      <c r="D66" s="55">
        <v>71645.3</v>
      </c>
      <c r="E66" s="101" t="s">
        <v>1189</v>
      </c>
      <c r="F66" s="101" t="s">
        <v>41</v>
      </c>
      <c r="G66" s="101" t="s">
        <v>41</v>
      </c>
      <c r="H66" s="101" t="s">
        <v>41</v>
      </c>
      <c r="I66" s="101" t="s">
        <v>41</v>
      </c>
      <c r="J66" s="101" t="s">
        <v>41</v>
      </c>
      <c r="K66" s="101" t="s">
        <v>41</v>
      </c>
      <c r="L66" s="101" t="s">
        <v>41</v>
      </c>
      <c r="M66" s="101" t="s">
        <v>41</v>
      </c>
      <c r="N66" s="101" t="s">
        <v>41</v>
      </c>
    </row>
    <row r="67" spans="1:14" x14ac:dyDescent="0.4">
      <c r="A67" s="2"/>
      <c r="B67" s="17" t="s">
        <v>1087</v>
      </c>
      <c r="C67" s="546" t="s">
        <v>83</v>
      </c>
      <c r="D67" s="546"/>
      <c r="E67" s="546"/>
      <c r="F67" s="546"/>
      <c r="G67" s="546"/>
      <c r="H67" s="546"/>
      <c r="I67" s="546"/>
      <c r="J67" s="546"/>
      <c r="K67" s="546"/>
      <c r="L67" s="546"/>
      <c r="M67" s="546"/>
      <c r="N67" s="546"/>
    </row>
    <row r="68" spans="1:14" s="8" customFormat="1" ht="13.25" x14ac:dyDescent="0.4">
      <c r="A68" s="2"/>
      <c r="B68" s="399" t="s">
        <v>1619</v>
      </c>
      <c r="C68" s="399"/>
      <c r="D68" s="399"/>
      <c r="E68" s="399"/>
      <c r="F68" s="399"/>
      <c r="G68" s="399"/>
      <c r="H68" s="399"/>
      <c r="I68" s="399"/>
      <c r="J68" s="399"/>
      <c r="K68" s="399"/>
      <c r="L68" s="399"/>
      <c r="M68" s="399"/>
      <c r="N68" s="399"/>
    </row>
    <row r="69" spans="1:14" x14ac:dyDescent="0.4">
      <c r="A69" s="2"/>
      <c r="B69" s="545" t="s">
        <v>17</v>
      </c>
      <c r="C69" s="545"/>
      <c r="D69" s="545"/>
      <c r="E69" s="545"/>
      <c r="F69" s="545"/>
      <c r="G69" s="545"/>
      <c r="H69" s="545"/>
      <c r="I69" s="545"/>
      <c r="J69" s="545"/>
      <c r="K69" s="545"/>
      <c r="L69" s="545"/>
      <c r="M69" s="545"/>
      <c r="N69" s="545"/>
    </row>
    <row r="70" spans="1:14" x14ac:dyDescent="0.4">
      <c r="A70" s="2"/>
      <c r="B70" s="480" t="s">
        <v>63</v>
      </c>
      <c r="C70" s="480"/>
      <c r="D70" s="480"/>
      <c r="E70" s="480"/>
      <c r="F70" s="480"/>
      <c r="G70" s="480"/>
      <c r="H70" s="480"/>
      <c r="I70" s="480"/>
      <c r="J70" s="480"/>
      <c r="K70" s="480"/>
      <c r="L70" s="480"/>
      <c r="M70" s="480"/>
      <c r="N70" s="480"/>
    </row>
    <row r="71" spans="1:14" x14ac:dyDescent="0.4">
      <c r="A71" s="1"/>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177"/>
      <c r="E74" s="49"/>
      <c r="F74" s="49"/>
      <c r="G74" s="13"/>
      <c r="H74" s="13"/>
      <c r="I74" s="13"/>
      <c r="J74" s="13"/>
      <c r="K74" s="13"/>
      <c r="L74" s="13" t="s">
        <v>693</v>
      </c>
      <c r="M74" s="13"/>
      <c r="N74" s="13"/>
    </row>
    <row r="75" spans="1:14" ht="48.05" customHeight="1" x14ac:dyDescent="0.4">
      <c r="A75" s="9">
        <v>13</v>
      </c>
      <c r="B75" s="405" t="s">
        <v>66</v>
      </c>
      <c r="C75" s="406"/>
      <c r="D75" s="406"/>
      <c r="E75" s="406"/>
      <c r="F75" s="406"/>
      <c r="G75" s="376"/>
      <c r="H75" s="11"/>
      <c r="I75" s="11"/>
      <c r="J75" s="11"/>
      <c r="K75" s="11"/>
      <c r="L75" s="11"/>
      <c r="M75" s="11"/>
      <c r="N75" s="11"/>
    </row>
    <row r="76" spans="1:14" x14ac:dyDescent="0.4">
      <c r="A76" s="9"/>
      <c r="B76" s="8"/>
      <c r="C76" s="15"/>
      <c r="D76" s="170"/>
      <c r="E76" s="15"/>
      <c r="F76" s="15"/>
      <c r="G76" s="15"/>
      <c r="H76" s="15"/>
      <c r="I76" s="15"/>
      <c r="J76" s="15"/>
      <c r="K76" s="15"/>
      <c r="L76" s="15"/>
      <c r="M76" s="15"/>
      <c r="N76" s="15"/>
    </row>
    <row r="77" spans="1:14" ht="25.65" x14ac:dyDescent="0.4">
      <c r="A77" s="2"/>
      <c r="B77" s="50" t="s">
        <v>67</v>
      </c>
      <c r="C77" s="18" t="s">
        <v>68</v>
      </c>
      <c r="D77" s="171" t="s">
        <v>1127</v>
      </c>
      <c r="E77" s="18" t="s">
        <v>218</v>
      </c>
      <c r="F77" s="18" t="s">
        <v>71</v>
      </c>
      <c r="G77" s="18" t="s">
        <v>107</v>
      </c>
      <c r="H77" s="13"/>
      <c r="I77" s="13"/>
      <c r="J77" s="13"/>
      <c r="K77" s="13"/>
      <c r="L77" s="13"/>
      <c r="M77" s="13"/>
      <c r="N77" s="13"/>
    </row>
    <row r="78" spans="1:14" ht="25.55" customHeight="1" x14ac:dyDescent="0.4">
      <c r="A78" s="2"/>
      <c r="B78" s="411" t="s">
        <v>1271</v>
      </c>
      <c r="C78" s="207" t="s">
        <v>1620</v>
      </c>
      <c r="D78" s="284">
        <v>10.72</v>
      </c>
      <c r="E78" s="435" t="s">
        <v>1603</v>
      </c>
      <c r="F78" s="435" t="s">
        <v>326</v>
      </c>
      <c r="G78" s="435" t="s">
        <v>220</v>
      </c>
      <c r="H78" s="53"/>
      <c r="I78" s="53"/>
      <c r="J78" s="53"/>
      <c r="K78" s="53"/>
      <c r="L78" s="53"/>
      <c r="M78" s="53"/>
      <c r="N78" s="53"/>
    </row>
    <row r="79" spans="1:14" x14ac:dyDescent="0.4">
      <c r="A79" s="2"/>
      <c r="B79" s="533"/>
      <c r="C79" s="207" t="s">
        <v>987</v>
      </c>
      <c r="D79" s="284" t="s">
        <v>84</v>
      </c>
      <c r="E79" s="436"/>
      <c r="F79" s="436"/>
      <c r="G79" s="436"/>
      <c r="H79" s="53"/>
      <c r="I79" s="53"/>
      <c r="J79" s="53"/>
      <c r="K79" s="53"/>
      <c r="L79" s="53"/>
      <c r="M79" s="53"/>
      <c r="N79" s="53"/>
    </row>
    <row r="80" spans="1:14" x14ac:dyDescent="0.4">
      <c r="A80" s="2"/>
      <c r="B80" s="534"/>
      <c r="C80" s="207" t="s">
        <v>74</v>
      </c>
      <c r="D80" s="284" t="s">
        <v>84</v>
      </c>
      <c r="E80" s="436"/>
      <c r="F80" s="436"/>
      <c r="G80" s="436"/>
      <c r="H80" s="53"/>
      <c r="I80" s="53"/>
      <c r="J80" s="53"/>
      <c r="K80" s="53"/>
      <c r="L80" s="53"/>
      <c r="M80" s="53"/>
      <c r="N80" s="53"/>
    </row>
    <row r="81" spans="1:14" x14ac:dyDescent="0.4">
      <c r="A81" s="2"/>
      <c r="B81" s="411" t="s">
        <v>75</v>
      </c>
      <c r="C81" s="207" t="s">
        <v>1620</v>
      </c>
      <c r="D81" s="284">
        <v>9.33</v>
      </c>
      <c r="E81" s="436"/>
      <c r="F81" s="436"/>
      <c r="G81" s="436"/>
      <c r="H81" s="53"/>
      <c r="I81" s="53"/>
      <c r="J81" s="53"/>
      <c r="K81" s="53"/>
      <c r="L81" s="53"/>
      <c r="M81" s="53"/>
      <c r="N81" s="53"/>
    </row>
    <row r="82" spans="1:14" x14ac:dyDescent="0.4">
      <c r="A82" s="2"/>
      <c r="B82" s="533"/>
      <c r="C82" s="207" t="s">
        <v>987</v>
      </c>
      <c r="D82" s="284" t="s">
        <v>84</v>
      </c>
      <c r="E82" s="436"/>
      <c r="F82" s="436"/>
      <c r="G82" s="436"/>
      <c r="H82" s="53"/>
      <c r="I82" s="53"/>
      <c r="J82" s="53"/>
      <c r="K82" s="53"/>
      <c r="L82" s="53"/>
      <c r="M82" s="53"/>
      <c r="N82" s="53"/>
    </row>
    <row r="83" spans="1:14" x14ac:dyDescent="0.4">
      <c r="A83" s="2"/>
      <c r="B83" s="534"/>
      <c r="C83" s="207" t="s">
        <v>74</v>
      </c>
      <c r="D83" s="284" t="s">
        <v>84</v>
      </c>
      <c r="E83" s="436"/>
      <c r="F83" s="436"/>
      <c r="G83" s="436"/>
      <c r="H83" s="53"/>
      <c r="I83" s="53"/>
      <c r="J83" s="53"/>
      <c r="K83" s="53"/>
      <c r="L83" s="53"/>
      <c r="M83" s="53"/>
      <c r="N83" s="53"/>
    </row>
    <row r="84" spans="1:14" x14ac:dyDescent="0.4">
      <c r="A84" s="2"/>
      <c r="B84" s="411" t="s">
        <v>76</v>
      </c>
      <c r="C84" s="207" t="s">
        <v>1620</v>
      </c>
      <c r="D84" s="284">
        <v>81.5</v>
      </c>
      <c r="E84" s="436"/>
      <c r="F84" s="436"/>
      <c r="G84" s="436"/>
      <c r="H84" s="53"/>
      <c r="I84" s="53"/>
      <c r="J84" s="53"/>
      <c r="K84" s="53"/>
      <c r="L84" s="53"/>
      <c r="M84" s="53"/>
      <c r="N84" s="53"/>
    </row>
    <row r="85" spans="1:14" x14ac:dyDescent="0.4">
      <c r="A85" s="2"/>
      <c r="B85" s="533"/>
      <c r="C85" s="207" t="s">
        <v>987</v>
      </c>
      <c r="D85" s="284" t="s">
        <v>84</v>
      </c>
      <c r="E85" s="436"/>
      <c r="F85" s="436"/>
      <c r="G85" s="436"/>
      <c r="H85" s="53"/>
      <c r="I85" s="53"/>
      <c r="J85" s="53"/>
      <c r="K85" s="53"/>
      <c r="L85" s="53"/>
      <c r="M85" s="53"/>
      <c r="N85" s="53"/>
    </row>
    <row r="86" spans="1:14" x14ac:dyDescent="0.4">
      <c r="A86" s="2"/>
      <c r="B86" s="534"/>
      <c r="C86" s="207" t="s">
        <v>74</v>
      </c>
      <c r="D86" s="284" t="s">
        <v>84</v>
      </c>
      <c r="E86" s="436"/>
      <c r="F86" s="436"/>
      <c r="G86" s="436"/>
      <c r="H86" s="53"/>
      <c r="I86" s="53"/>
      <c r="J86" s="53"/>
      <c r="K86" s="53"/>
      <c r="L86" s="53"/>
      <c r="M86" s="53"/>
      <c r="N86" s="53"/>
    </row>
    <row r="87" spans="1:14" x14ac:dyDescent="0.4">
      <c r="A87" s="2"/>
      <c r="B87" s="603" t="s">
        <v>77</v>
      </c>
      <c r="C87" s="207" t="s">
        <v>1620</v>
      </c>
      <c r="D87" s="284">
        <v>13.15</v>
      </c>
      <c r="E87" s="436"/>
      <c r="F87" s="436"/>
      <c r="G87" s="436"/>
      <c r="H87" s="53"/>
      <c r="I87" s="53"/>
      <c r="J87" s="53"/>
      <c r="K87" s="53"/>
      <c r="L87" s="53"/>
      <c r="M87" s="53"/>
      <c r="N87" s="53"/>
    </row>
    <row r="88" spans="1:14" x14ac:dyDescent="0.4">
      <c r="A88" s="2"/>
      <c r="B88" s="604"/>
      <c r="C88" s="207" t="s">
        <v>987</v>
      </c>
      <c r="D88" s="284" t="s">
        <v>84</v>
      </c>
      <c r="E88" s="436"/>
      <c r="F88" s="436"/>
      <c r="G88" s="436"/>
      <c r="H88" s="53"/>
      <c r="I88" s="53"/>
      <c r="J88" s="53"/>
      <c r="K88" s="53"/>
      <c r="L88" s="53"/>
      <c r="M88" s="53"/>
      <c r="N88" s="53"/>
    </row>
    <row r="89" spans="1:14" ht="15.05" customHeight="1" x14ac:dyDescent="0.4">
      <c r="A89" s="2"/>
      <c r="B89" s="604"/>
      <c r="C89" s="3" t="s">
        <v>74</v>
      </c>
      <c r="D89" s="284" t="s">
        <v>84</v>
      </c>
      <c r="E89" s="547"/>
      <c r="F89" s="547"/>
      <c r="G89" s="547"/>
      <c r="H89" s="53"/>
      <c r="I89" s="53"/>
      <c r="J89" s="53"/>
      <c r="K89" s="53"/>
      <c r="L89" s="53"/>
      <c r="M89" s="53"/>
      <c r="N89" s="53"/>
    </row>
    <row r="90" spans="1:14" ht="15.8" customHeight="1" x14ac:dyDescent="0.4">
      <c r="A90" s="8"/>
      <c r="B90" s="630" t="s">
        <v>1621</v>
      </c>
      <c r="C90" s="630"/>
      <c r="D90" s="630"/>
      <c r="E90" s="630"/>
      <c r="F90" s="630"/>
      <c r="G90" s="630"/>
      <c r="H90" s="53"/>
      <c r="I90" s="53"/>
      <c r="J90" s="8"/>
      <c r="K90" s="8"/>
      <c r="L90" s="8"/>
      <c r="M90" s="8"/>
      <c r="N90" s="8"/>
    </row>
    <row r="91" spans="1:14" ht="26.3" customHeight="1" x14ac:dyDescent="0.4">
      <c r="A91" s="9">
        <v>14</v>
      </c>
      <c r="B91" s="631" t="s">
        <v>989</v>
      </c>
      <c r="C91" s="631"/>
      <c r="D91" s="631"/>
      <c r="E91" s="631"/>
      <c r="F91" s="631"/>
      <c r="G91" s="631"/>
      <c r="H91" s="8"/>
      <c r="I91" s="8"/>
      <c r="J91" s="8"/>
      <c r="K91" s="8"/>
      <c r="L91" s="8"/>
      <c r="M91" s="8"/>
      <c r="N91" s="8"/>
    </row>
    <row r="92" spans="1:14" x14ac:dyDescent="0.4">
      <c r="A92" s="23"/>
      <c r="B92" s="61" t="s">
        <v>78</v>
      </c>
      <c r="C92" s="497" t="s">
        <v>41</v>
      </c>
      <c r="D92" s="497"/>
      <c r="E92" s="497"/>
      <c r="F92" s="497"/>
      <c r="G92" s="497"/>
      <c r="H92" s="8"/>
      <c r="I92" s="8"/>
      <c r="J92" s="8"/>
      <c r="K92" s="8"/>
      <c r="L92" s="8"/>
      <c r="M92" s="8"/>
      <c r="N92" s="8"/>
    </row>
    <row r="93" spans="1:14" x14ac:dyDescent="0.4">
      <c r="A93" s="8"/>
      <c r="B93" s="8"/>
      <c r="C93" s="10"/>
      <c r="D93" s="208"/>
      <c r="E93" s="200"/>
      <c r="F93" s="200"/>
      <c r="G93" s="200"/>
      <c r="H93" s="8"/>
      <c r="I93" s="8"/>
      <c r="J93" s="8"/>
      <c r="K93" s="8"/>
      <c r="L93" s="8"/>
      <c r="M93" s="8"/>
      <c r="N93" s="8"/>
    </row>
    <row r="94" spans="1:14" x14ac:dyDescent="0.4">
      <c r="A94" s="8"/>
      <c r="B94" s="8"/>
      <c r="C94" s="8"/>
      <c r="D94" s="208"/>
      <c r="H94" s="8"/>
      <c r="I94" s="8"/>
      <c r="J94" s="8"/>
      <c r="K94" s="8"/>
      <c r="L94" s="8"/>
      <c r="M94" s="8"/>
      <c r="N94" s="8"/>
    </row>
    <row r="95" spans="1:14" ht="15.05" customHeight="1" x14ac:dyDescent="0.4">
      <c r="A95" s="8"/>
      <c r="B95" s="8"/>
      <c r="C95" s="8"/>
      <c r="D95" s="167"/>
      <c r="H95" s="200"/>
      <c r="I95" s="8"/>
      <c r="J95" s="8"/>
      <c r="K95" s="8"/>
      <c r="L95" s="8"/>
      <c r="M95" s="8"/>
      <c r="N95" s="8"/>
    </row>
    <row r="96" spans="1:14" ht="15.05" customHeight="1" x14ac:dyDescent="0.4">
      <c r="B96" s="538" t="s">
        <v>1622</v>
      </c>
      <c r="C96" s="538"/>
      <c r="D96" s="538"/>
      <c r="E96" s="538"/>
      <c r="F96" s="538"/>
      <c r="G96" s="538"/>
    </row>
    <row r="97" spans="2:7" ht="15.05" customHeight="1" x14ac:dyDescent="0.4">
      <c r="B97" s="515" t="s">
        <v>1490</v>
      </c>
      <c r="C97" s="515"/>
      <c r="D97" s="515"/>
      <c r="E97" s="515"/>
      <c r="F97" s="515"/>
      <c r="G97" s="515"/>
    </row>
    <row r="98" spans="2:7" x14ac:dyDescent="0.4">
      <c r="C98" s="228"/>
      <c r="D98" s="228"/>
    </row>
    <row r="99" spans="2:7" x14ac:dyDescent="0.4">
      <c r="C99" s="238"/>
    </row>
    <row r="100" spans="2:7" x14ac:dyDescent="0.4">
      <c r="C100" s="228"/>
      <c r="D100" s="228"/>
    </row>
    <row r="101" spans="2:7" x14ac:dyDescent="0.4">
      <c r="C101" s="228"/>
    </row>
  </sheetData>
  <sheetProtection algorithmName="SHA-512" hashValue="f7ZKwaUcKRsNYc+6owhh0r8dt1uXPi0bu98l0yjLOUT6CRe6MSf6+7dJlKub0fmWGTYdKdXVOcXKNzjHr43nRA==" saltValue="83rvDezxCQxkYvHMSnHF/w==" spinCount="100000" sheet="1" objects="1" scenarios="1"/>
  <mergeCells count="69">
    <mergeCell ref="B90:G90"/>
    <mergeCell ref="B91:G91"/>
    <mergeCell ref="C92:G92"/>
    <mergeCell ref="B96:G96"/>
    <mergeCell ref="B97:G97"/>
    <mergeCell ref="B72:N72"/>
    <mergeCell ref="B73:N73"/>
    <mergeCell ref="B75:G75"/>
    <mergeCell ref="B78:B80"/>
    <mergeCell ref="E78:E89"/>
    <mergeCell ref="F78:F89"/>
    <mergeCell ref="G78:G89"/>
    <mergeCell ref="B81:B83"/>
    <mergeCell ref="B84:B86"/>
    <mergeCell ref="B87:B89"/>
    <mergeCell ref="B71:N71"/>
    <mergeCell ref="B63:B64"/>
    <mergeCell ref="C63:C64"/>
    <mergeCell ref="D63:D64"/>
    <mergeCell ref="E63:E64"/>
    <mergeCell ref="F63:H63"/>
    <mergeCell ref="I63:K63"/>
    <mergeCell ref="L63:N63"/>
    <mergeCell ref="C67:N67"/>
    <mergeCell ref="B68:N68"/>
    <mergeCell ref="B69:N69"/>
    <mergeCell ref="B70:N70"/>
    <mergeCell ref="C61:E61"/>
    <mergeCell ref="B42:E42"/>
    <mergeCell ref="B44:E44"/>
    <mergeCell ref="B47:E47"/>
    <mergeCell ref="B49:E49"/>
    <mergeCell ref="B50:B51"/>
    <mergeCell ref="C50:E51"/>
    <mergeCell ref="C52:E52"/>
    <mergeCell ref="C53:E53"/>
    <mergeCell ref="B54:E54"/>
    <mergeCell ref="B55:E55"/>
    <mergeCell ref="C57:E57"/>
    <mergeCell ref="C41:E41"/>
    <mergeCell ref="C27:C30"/>
    <mergeCell ref="D27:D30"/>
    <mergeCell ref="E27:E30"/>
    <mergeCell ref="B31:E31"/>
    <mergeCell ref="B33:E33"/>
    <mergeCell ref="C34:E34"/>
    <mergeCell ref="C35:E35"/>
    <mergeCell ref="C36:E36"/>
    <mergeCell ref="B38:E38"/>
    <mergeCell ref="C39:E39"/>
    <mergeCell ref="C40:E40"/>
    <mergeCell ref="B25:E25"/>
    <mergeCell ref="C11:E11"/>
    <mergeCell ref="B12:E12"/>
    <mergeCell ref="C14:E14"/>
    <mergeCell ref="B15:E15"/>
    <mergeCell ref="B17:E17"/>
    <mergeCell ref="C18:E18"/>
    <mergeCell ref="C19:E19"/>
    <mergeCell ref="C20:E20"/>
    <mergeCell ref="C21:E21"/>
    <mergeCell ref="C22:E22"/>
    <mergeCell ref="B24:E24"/>
    <mergeCell ref="B9:E9"/>
    <mergeCell ref="A1:B1"/>
    <mergeCell ref="C3:E3"/>
    <mergeCell ref="C5:E5"/>
    <mergeCell ref="B6:E6"/>
    <mergeCell ref="C8:E8"/>
  </mergeCells>
  <pageMargins left="0.7" right="0.7" top="0.75" bottom="0.75" header="0.3" footer="0.3"/>
  <pageSetup paperSize="8" orientation="landscape" verticalDpi="300" r:id="rId1"/>
  <rowBreaks count="2" manualBreakCount="2">
    <brk id="36" max="16383" man="1"/>
    <brk id="58" max="1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9B89C-7A99-4226-BF48-5726F7E2066B}">
  <dimension ref="A1:N112"/>
  <sheetViews>
    <sheetView view="pageBreakPreview" topLeftCell="B99" zoomScale="60" zoomScaleNormal="100" workbookViewId="0">
      <selection activeCell="B61" sqref="B61:E61"/>
    </sheetView>
  </sheetViews>
  <sheetFormatPr defaultColWidth="9.07421875" defaultRowHeight="14.6" x14ac:dyDescent="0.4"/>
  <cols>
    <col min="1" max="1" width="6.4609375" bestFit="1" customWidth="1"/>
    <col min="2" max="2" width="49.53515625" customWidth="1"/>
    <col min="3" max="3" width="19.53515625" customWidth="1"/>
    <col min="4" max="4" width="18.07421875" customWidth="1"/>
    <col min="5" max="5" width="18.69140625" customWidth="1"/>
    <col min="6" max="6" width="9.3046875" bestFit="1" customWidth="1"/>
    <col min="8" max="9" width="11.46093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1574</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1575</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40.7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1624</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605">
        <v>12.52</v>
      </c>
      <c r="D18" s="606"/>
      <c r="E18" s="607"/>
      <c r="F18" s="15"/>
      <c r="G18" s="13"/>
      <c r="H18" s="13"/>
      <c r="I18" s="13"/>
      <c r="J18" s="13"/>
      <c r="K18" s="13"/>
      <c r="L18" s="13"/>
      <c r="M18" s="13"/>
      <c r="N18" s="13"/>
    </row>
    <row r="19" spans="1:14" ht="25.65" x14ac:dyDescent="0.4">
      <c r="A19" s="9"/>
      <c r="B19" s="14" t="s">
        <v>1517</v>
      </c>
      <c r="C19" s="605" t="s">
        <v>1516</v>
      </c>
      <c r="D19" s="606"/>
      <c r="E19" s="607"/>
      <c r="F19" s="15"/>
      <c r="G19" s="13" t="s">
        <v>693</v>
      </c>
      <c r="H19" s="8"/>
      <c r="I19" s="13"/>
      <c r="J19" s="13"/>
      <c r="K19" s="13"/>
      <c r="L19" s="13"/>
      <c r="M19" s="13"/>
      <c r="N19" s="13"/>
    </row>
    <row r="20" spans="1:14" x14ac:dyDescent="0.4">
      <c r="A20" s="9"/>
      <c r="B20" s="14" t="s">
        <v>605</v>
      </c>
      <c r="C20" s="446" t="s">
        <v>319</v>
      </c>
      <c r="D20" s="446"/>
      <c r="E20" s="446"/>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c r="B38" s="15"/>
      <c r="C38" s="13"/>
      <c r="D38" s="169"/>
      <c r="E38" s="13"/>
      <c r="F38" s="13"/>
      <c r="G38" s="8"/>
      <c r="H38" s="8"/>
      <c r="I38" s="8"/>
      <c r="J38" s="8"/>
      <c r="K38" s="8"/>
      <c r="L38" s="8"/>
      <c r="M38" s="8"/>
      <c r="N38" s="8"/>
    </row>
    <row r="39" spans="1:14" x14ac:dyDescent="0.4">
      <c r="A39" s="9">
        <v>8</v>
      </c>
      <c r="B39" s="365" t="s">
        <v>1084</v>
      </c>
      <c r="C39" s="365"/>
      <c r="D39" s="365"/>
      <c r="E39" s="365"/>
      <c r="F39" s="11"/>
      <c r="G39" s="11"/>
      <c r="H39" s="11"/>
      <c r="I39" s="11"/>
      <c r="J39" s="11"/>
      <c r="K39" s="8"/>
      <c r="L39" s="8"/>
      <c r="M39" s="8"/>
      <c r="N39" s="8"/>
    </row>
    <row r="40" spans="1:14" ht="15.05" customHeight="1" x14ac:dyDescent="0.4">
      <c r="A40" s="9"/>
      <c r="B40" s="17" t="s">
        <v>34</v>
      </c>
      <c r="C40" s="373" t="s">
        <v>319</v>
      </c>
      <c r="D40" s="374"/>
      <c r="E40" s="375"/>
      <c r="F40" s="13"/>
      <c r="G40" s="8"/>
      <c r="H40" s="8"/>
      <c r="I40" s="8"/>
      <c r="J40" s="8"/>
      <c r="K40" s="8"/>
      <c r="L40" s="8"/>
      <c r="M40" s="8"/>
      <c r="N40" s="8"/>
    </row>
    <row r="41" spans="1:14" x14ac:dyDescent="0.4">
      <c r="A41" s="9"/>
      <c r="B41" s="17" t="s">
        <v>31</v>
      </c>
      <c r="C41" s="373" t="s">
        <v>320</v>
      </c>
      <c r="D41" s="374"/>
      <c r="E41" s="375"/>
      <c r="F41" s="13"/>
      <c r="G41" s="8"/>
      <c r="H41" s="8"/>
      <c r="I41" s="8"/>
      <c r="J41" s="8"/>
      <c r="K41" s="8"/>
      <c r="L41" s="8"/>
      <c r="M41" s="8"/>
      <c r="N41" s="8"/>
    </row>
    <row r="42" spans="1:14" x14ac:dyDescent="0.4">
      <c r="A42" s="9"/>
      <c r="B42" s="17" t="s">
        <v>32</v>
      </c>
      <c r="C42" s="446" t="s">
        <v>201</v>
      </c>
      <c r="D42" s="446"/>
      <c r="E42" s="446"/>
      <c r="F42" s="13"/>
      <c r="G42" s="8"/>
      <c r="H42" s="8"/>
      <c r="I42" s="8"/>
      <c r="J42" s="8"/>
      <c r="K42" s="8"/>
      <c r="L42" s="8"/>
      <c r="M42" s="8"/>
      <c r="N42" s="8"/>
    </row>
    <row r="43" spans="1:14" x14ac:dyDescent="0.4">
      <c r="A43" s="9"/>
      <c r="B43" s="363" t="s">
        <v>848</v>
      </c>
      <c r="C43" s="368"/>
      <c r="D43" s="368"/>
      <c r="E43" s="369"/>
      <c r="F43" s="13"/>
      <c r="G43" s="8"/>
      <c r="H43" s="8"/>
      <c r="I43" s="8"/>
      <c r="J43" s="8"/>
      <c r="K43" s="8"/>
      <c r="L43" s="8"/>
      <c r="M43" s="8"/>
      <c r="N43" s="8"/>
    </row>
    <row r="44" spans="1:14" x14ac:dyDescent="0.4">
      <c r="A44" s="2"/>
      <c r="B44" s="8"/>
      <c r="C44" s="8"/>
      <c r="D44" s="173"/>
      <c r="E44" s="13"/>
      <c r="F44" s="8"/>
      <c r="G44" s="8"/>
      <c r="H44" s="8"/>
      <c r="I44" s="8"/>
      <c r="J44" s="8"/>
      <c r="K44" s="8"/>
      <c r="L44" s="8"/>
      <c r="M44" s="8"/>
      <c r="N44" s="8"/>
    </row>
    <row r="45" spans="1:14" x14ac:dyDescent="0.4">
      <c r="A45" s="24">
        <v>9</v>
      </c>
      <c r="B45" s="376" t="s">
        <v>1085</v>
      </c>
      <c r="C45" s="365"/>
      <c r="D45" s="365"/>
      <c r="E45" s="365"/>
      <c r="F45" s="25"/>
      <c r="G45" s="11"/>
      <c r="H45" s="11"/>
      <c r="I45" s="11"/>
      <c r="J45" s="8"/>
      <c r="K45" s="8"/>
      <c r="L45" s="8"/>
      <c r="M45" s="8"/>
      <c r="N45" s="8"/>
    </row>
    <row r="46" spans="1:14" ht="38.450000000000003" x14ac:dyDescent="0.4">
      <c r="A46" s="24"/>
      <c r="B46" s="26" t="s">
        <v>37</v>
      </c>
      <c r="C46" s="27" t="s">
        <v>38</v>
      </c>
      <c r="D46" s="174" t="s">
        <v>39</v>
      </c>
      <c r="E46" s="27" t="s">
        <v>206</v>
      </c>
      <c r="F46" s="8"/>
      <c r="G46" s="8"/>
      <c r="H46" s="8"/>
      <c r="I46" s="8"/>
      <c r="J46" s="8"/>
      <c r="K46" s="8"/>
      <c r="L46" s="8"/>
      <c r="M46" s="8"/>
      <c r="N46" s="8"/>
    </row>
    <row r="47" spans="1:14" ht="238.55" x14ac:dyDescent="0.4">
      <c r="A47" s="29"/>
      <c r="B47" s="78" t="s">
        <v>1576</v>
      </c>
      <c r="C47" s="78" t="s">
        <v>1577</v>
      </c>
      <c r="D47" s="78" t="s">
        <v>1578</v>
      </c>
      <c r="E47" s="117" t="s">
        <v>83</v>
      </c>
      <c r="F47" s="8"/>
      <c r="G47" s="8"/>
      <c r="H47" s="8"/>
      <c r="I47" s="8"/>
      <c r="J47" s="8"/>
      <c r="K47" s="8"/>
      <c r="L47" s="8"/>
      <c r="M47" s="8"/>
      <c r="N47" s="8"/>
    </row>
    <row r="48" spans="1:14" x14ac:dyDescent="0.4">
      <c r="A48" s="31"/>
      <c r="B48" s="380" t="s">
        <v>1579</v>
      </c>
      <c r="C48" s="381"/>
      <c r="D48" s="381"/>
      <c r="E48" s="382"/>
      <c r="F48" s="15"/>
      <c r="G48" s="15"/>
      <c r="H48" s="15"/>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54" customHeight="1" x14ac:dyDescent="0.4">
      <c r="A51" s="29"/>
      <c r="B51" s="383" t="s">
        <v>43</v>
      </c>
      <c r="C51" s="581" t="s">
        <v>1577</v>
      </c>
      <c r="D51" s="582"/>
      <c r="E51" s="583"/>
      <c r="F51" s="8"/>
      <c r="G51" s="8"/>
      <c r="H51" s="8"/>
      <c r="I51" s="8"/>
      <c r="J51" s="8"/>
      <c r="K51" s="1"/>
      <c r="L51" s="8"/>
      <c r="M51" s="8"/>
      <c r="N51" s="8"/>
    </row>
    <row r="52" spans="1:14" ht="12.05" customHeight="1" x14ac:dyDescent="0.4">
      <c r="A52" s="29"/>
      <c r="B52" s="384"/>
      <c r="C52" s="584"/>
      <c r="D52" s="585"/>
      <c r="E52" s="586"/>
      <c r="F52" s="8"/>
      <c r="G52" s="8"/>
      <c r="H52" s="8"/>
      <c r="I52" s="8"/>
      <c r="J52" s="8"/>
      <c r="K52" s="1"/>
      <c r="L52" s="8"/>
      <c r="M52" s="8"/>
      <c r="N52" s="8"/>
    </row>
    <row r="53" spans="1:14" ht="42.65" customHeight="1" x14ac:dyDescent="0.4">
      <c r="A53" s="24"/>
      <c r="B53" s="33" t="s">
        <v>1549</v>
      </c>
      <c r="C53" s="391" t="s">
        <v>1577</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ht="14.35" customHeight="1" x14ac:dyDescent="0.4">
      <c r="A55" s="29"/>
      <c r="B55" s="380" t="s">
        <v>1579</v>
      </c>
      <c r="C55" s="381"/>
      <c r="D55" s="381"/>
      <c r="E55" s="382"/>
      <c r="F55" s="8"/>
      <c r="G55" s="8"/>
      <c r="H55" s="230"/>
      <c r="I55" s="8"/>
      <c r="J55" s="8"/>
      <c r="K55" s="34"/>
      <c r="L55" s="8"/>
      <c r="M55" s="8"/>
      <c r="N55" s="8"/>
    </row>
    <row r="56" spans="1:14" x14ac:dyDescent="0.4">
      <c r="A56" s="35" t="s">
        <v>47</v>
      </c>
      <c r="B56" s="392" t="s">
        <v>48</v>
      </c>
      <c r="C56" s="392"/>
      <c r="D56" s="392"/>
      <c r="E56" s="392"/>
      <c r="F56" s="63"/>
      <c r="G56" s="63"/>
      <c r="H56" s="296"/>
      <c r="I56" s="63"/>
      <c r="J56" s="63"/>
      <c r="K56" s="63"/>
      <c r="L56" s="63"/>
      <c r="M56" s="63"/>
      <c r="N56" s="63"/>
    </row>
    <row r="57" spans="1:14" x14ac:dyDescent="0.4">
      <c r="A57" s="40"/>
      <c r="B57" s="41"/>
      <c r="C57" s="42"/>
      <c r="D57" s="175"/>
      <c r="E57" s="42"/>
      <c r="F57" s="42"/>
      <c r="G57" s="8"/>
      <c r="H57" s="230"/>
      <c r="I57" s="8"/>
      <c r="J57" s="8"/>
      <c r="K57" s="8"/>
      <c r="L57" s="8"/>
      <c r="M57" s="8"/>
      <c r="N57" s="8"/>
    </row>
    <row r="58" spans="1:14" x14ac:dyDescent="0.4">
      <c r="A58" s="9">
        <v>11</v>
      </c>
      <c r="B58" s="3" t="s">
        <v>49</v>
      </c>
      <c r="C58" s="580" t="s">
        <v>851</v>
      </c>
      <c r="D58" s="580"/>
      <c r="E58" s="580"/>
      <c r="F58" s="11"/>
      <c r="G58" s="11"/>
      <c r="H58" s="43"/>
      <c r="I58" s="11"/>
      <c r="J58" s="11"/>
      <c r="K58" s="8"/>
      <c r="L58" s="8"/>
      <c r="M58" s="8"/>
      <c r="N58" s="8"/>
    </row>
    <row r="59" spans="1:14" x14ac:dyDescent="0.4">
      <c r="A59" s="9"/>
      <c r="B59" s="15"/>
      <c r="C59" s="15"/>
      <c r="D59" s="170"/>
      <c r="E59" s="15"/>
      <c r="F59" s="15"/>
      <c r="G59" s="15"/>
      <c r="H59" s="44"/>
      <c r="I59" s="44"/>
      <c r="J59" s="15"/>
      <c r="K59" s="8"/>
      <c r="L59" s="8"/>
      <c r="M59" s="8"/>
      <c r="N59" s="8"/>
    </row>
    <row r="60" spans="1:14" x14ac:dyDescent="0.4">
      <c r="A60" s="9">
        <v>12</v>
      </c>
      <c r="B60" s="11" t="s">
        <v>51</v>
      </c>
      <c r="C60" s="11"/>
      <c r="D60" s="176"/>
      <c r="E60" s="43"/>
      <c r="F60" s="43"/>
      <c r="G60" s="11"/>
      <c r="H60" s="11"/>
      <c r="I60" s="282"/>
      <c r="J60" s="11"/>
      <c r="K60" s="11"/>
      <c r="L60" s="11"/>
      <c r="M60" s="11"/>
      <c r="N60" s="11"/>
    </row>
    <row r="61" spans="1:14" x14ac:dyDescent="0.4">
      <c r="A61" s="9"/>
      <c r="B61" s="11"/>
      <c r="C61" s="11"/>
      <c r="D61" s="176"/>
      <c r="E61" s="43"/>
      <c r="F61" s="43"/>
      <c r="G61" s="43"/>
      <c r="H61" s="11"/>
      <c r="I61" s="282"/>
      <c r="J61" s="11"/>
      <c r="K61" s="11"/>
      <c r="L61" s="11"/>
      <c r="M61" s="11"/>
      <c r="N61" s="11"/>
    </row>
    <row r="62" spans="1:14" x14ac:dyDescent="0.4">
      <c r="A62" s="9"/>
      <c r="B62" s="17" t="s">
        <v>52</v>
      </c>
      <c r="C62" s="446" t="s">
        <v>1580</v>
      </c>
      <c r="D62" s="446"/>
      <c r="E62" s="446"/>
      <c r="F62" s="44"/>
      <c r="G62" s="44"/>
      <c r="H62" s="118"/>
      <c r="I62" s="15"/>
      <c r="J62" s="15"/>
      <c r="K62" s="15"/>
      <c r="L62" s="15"/>
      <c r="M62" s="15"/>
      <c r="N62" s="15"/>
    </row>
    <row r="63" spans="1:14" x14ac:dyDescent="0.4">
      <c r="A63" s="9"/>
      <c r="B63" s="15"/>
      <c r="C63" s="15"/>
      <c r="D63" s="236"/>
      <c r="E63" s="118"/>
      <c r="F63" s="15"/>
      <c r="G63" s="15"/>
      <c r="H63" s="118"/>
      <c r="I63" s="118"/>
      <c r="J63" s="15"/>
      <c r="K63" s="15"/>
      <c r="L63" s="15"/>
      <c r="M63" s="15"/>
      <c r="N63" s="15"/>
    </row>
    <row r="64" spans="1:14" x14ac:dyDescent="0.4">
      <c r="A64" s="9"/>
      <c r="B64" s="365" t="s">
        <v>53</v>
      </c>
      <c r="C64" s="366" t="s">
        <v>1581</v>
      </c>
      <c r="D64" s="558" t="s">
        <v>343</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131.66999999999999</v>
      </c>
      <c r="D66" s="101">
        <v>95.35</v>
      </c>
      <c r="E66" s="101" t="s">
        <v>41</v>
      </c>
      <c r="F66" s="101" t="s">
        <v>41</v>
      </c>
      <c r="G66" s="101" t="s">
        <v>41</v>
      </c>
      <c r="H66" s="101" t="s">
        <v>41</v>
      </c>
      <c r="I66" s="45" t="s">
        <v>41</v>
      </c>
      <c r="J66" s="45" t="s">
        <v>41</v>
      </c>
      <c r="K66" s="45" t="s">
        <v>41</v>
      </c>
      <c r="L66" s="45" t="s">
        <v>41</v>
      </c>
      <c r="M66" s="45" t="s">
        <v>41</v>
      </c>
      <c r="N66" s="45" t="s">
        <v>41</v>
      </c>
    </row>
    <row r="67" spans="1:14" x14ac:dyDescent="0.4">
      <c r="A67" s="2"/>
      <c r="B67" s="17" t="s">
        <v>216</v>
      </c>
      <c r="C67" s="284">
        <v>71186.86</v>
      </c>
      <c r="D67" s="101">
        <v>72708.160000000003</v>
      </c>
      <c r="E67" s="101" t="s">
        <v>41</v>
      </c>
      <c r="F67" s="101" t="s">
        <v>41</v>
      </c>
      <c r="G67" s="101" t="s">
        <v>41</v>
      </c>
      <c r="H67" s="101" t="s">
        <v>41</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s="8" customFormat="1" ht="13.25" x14ac:dyDescent="0.4">
      <c r="A69" s="2"/>
      <c r="B69" s="399" t="s">
        <v>1102</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ht="29.4" customHeight="1"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1133</v>
      </c>
      <c r="E78" s="18" t="s">
        <v>218</v>
      </c>
      <c r="F78" s="18" t="s">
        <v>71</v>
      </c>
      <c r="G78" s="18" t="s">
        <v>107</v>
      </c>
      <c r="H78" s="13"/>
      <c r="I78" s="13"/>
      <c r="J78" s="13"/>
      <c r="K78" s="13"/>
      <c r="L78" s="13"/>
      <c r="M78" s="13"/>
      <c r="N78" s="13"/>
    </row>
    <row r="79" spans="1:14" ht="25.55" customHeight="1" x14ac:dyDescent="0.4">
      <c r="A79" s="2"/>
      <c r="B79" s="411" t="s">
        <v>1271</v>
      </c>
      <c r="C79" s="207" t="s">
        <v>1582</v>
      </c>
      <c r="D79" s="287">
        <v>7.09</v>
      </c>
      <c r="E79" s="435" t="s">
        <v>1338</v>
      </c>
      <c r="F79" s="435" t="s">
        <v>326</v>
      </c>
      <c r="G79" s="435" t="s">
        <v>220</v>
      </c>
      <c r="H79" s="53"/>
      <c r="I79" s="53"/>
      <c r="J79" s="53"/>
      <c r="K79" s="53"/>
      <c r="L79" s="53"/>
      <c r="M79" s="53"/>
      <c r="N79" s="53"/>
    </row>
    <row r="80" spans="1:14" x14ac:dyDescent="0.4">
      <c r="A80" s="2"/>
      <c r="B80" s="533"/>
      <c r="C80" s="207" t="s">
        <v>987</v>
      </c>
      <c r="D80" s="287"/>
      <c r="E80" s="436"/>
      <c r="F80" s="436"/>
      <c r="G80" s="436"/>
      <c r="H80" s="53"/>
      <c r="I80" s="53"/>
      <c r="J80" s="53"/>
      <c r="K80" s="53"/>
      <c r="L80" s="53"/>
      <c r="M80" s="53"/>
      <c r="N80" s="53"/>
    </row>
    <row r="81" spans="1:14" ht="26.5" x14ac:dyDescent="0.4">
      <c r="A81" s="2"/>
      <c r="B81" s="533"/>
      <c r="C81" s="350" t="s">
        <v>1583</v>
      </c>
      <c r="D81" s="287">
        <v>27.17</v>
      </c>
      <c r="E81" s="436"/>
      <c r="F81" s="436"/>
      <c r="G81" s="436"/>
      <c r="H81" s="53"/>
      <c r="I81" s="53"/>
      <c r="J81" s="53"/>
      <c r="K81" s="53"/>
      <c r="L81" s="53"/>
      <c r="M81" s="53"/>
      <c r="N81" s="53"/>
    </row>
    <row r="82" spans="1:14" ht="26.4" customHeight="1" x14ac:dyDescent="0.4">
      <c r="A82" s="2"/>
      <c r="B82" s="533"/>
      <c r="C82" s="350" t="s">
        <v>1584</v>
      </c>
      <c r="D82" s="287">
        <v>34.090000000000003</v>
      </c>
      <c r="E82" s="436"/>
      <c r="F82" s="436"/>
      <c r="G82" s="436"/>
      <c r="H82" s="53"/>
      <c r="I82" s="53"/>
      <c r="J82" s="53"/>
      <c r="K82" s="53"/>
      <c r="L82" s="53"/>
      <c r="M82" s="53"/>
      <c r="N82" s="53"/>
    </row>
    <row r="83" spans="1:14" x14ac:dyDescent="0.4">
      <c r="A83" s="2"/>
      <c r="B83" s="533"/>
      <c r="C83" s="350" t="s">
        <v>1585</v>
      </c>
      <c r="D83" s="287">
        <v>10.58</v>
      </c>
      <c r="E83" s="436"/>
      <c r="F83" s="436"/>
      <c r="G83" s="436"/>
      <c r="H83" s="53"/>
      <c r="I83" s="53"/>
      <c r="J83" s="53"/>
      <c r="K83" s="53"/>
      <c r="L83" s="53"/>
      <c r="M83" s="53"/>
      <c r="N83" s="53"/>
    </row>
    <row r="84" spans="1:14" x14ac:dyDescent="0.4">
      <c r="A84" s="2"/>
      <c r="B84" s="534"/>
      <c r="C84" s="207" t="s">
        <v>74</v>
      </c>
      <c r="D84" s="132">
        <f>+(D81+D82+D83)/3</f>
        <v>23.946666666666669</v>
      </c>
      <c r="E84" s="436"/>
      <c r="F84" s="436"/>
      <c r="G84" s="436"/>
      <c r="H84" s="53"/>
      <c r="I84" s="53"/>
      <c r="J84" s="53"/>
      <c r="K84" s="53"/>
      <c r="L84" s="53"/>
      <c r="M84" s="53"/>
      <c r="N84" s="53"/>
    </row>
    <row r="85" spans="1:14" ht="25.65" x14ac:dyDescent="0.4">
      <c r="A85" s="2"/>
      <c r="B85" s="411" t="s">
        <v>75</v>
      </c>
      <c r="C85" s="207" t="s">
        <v>1582</v>
      </c>
      <c r="D85" s="287">
        <v>9.31</v>
      </c>
      <c r="E85" s="436"/>
      <c r="F85" s="436"/>
      <c r="G85" s="436"/>
      <c r="H85" s="53"/>
      <c r="I85" s="53"/>
      <c r="J85" s="53"/>
      <c r="K85" s="53"/>
      <c r="L85" s="53"/>
      <c r="M85" s="53"/>
      <c r="N85" s="53"/>
    </row>
    <row r="86" spans="1:14" x14ac:dyDescent="0.4">
      <c r="A86" s="2"/>
      <c r="B86" s="533"/>
      <c r="C86" s="207" t="s">
        <v>987</v>
      </c>
      <c r="D86" s="287"/>
      <c r="E86" s="436"/>
      <c r="F86" s="436"/>
      <c r="G86" s="436"/>
      <c r="H86" s="53"/>
      <c r="I86" s="53"/>
      <c r="J86" s="53"/>
      <c r="K86" s="53"/>
      <c r="L86" s="53"/>
      <c r="M86" s="53"/>
      <c r="N86" s="53"/>
    </row>
    <row r="87" spans="1:14" ht="26.5" x14ac:dyDescent="0.4">
      <c r="A87" s="2"/>
      <c r="B87" s="533"/>
      <c r="C87" s="350" t="s">
        <v>1583</v>
      </c>
      <c r="D87" s="287">
        <v>36.64</v>
      </c>
      <c r="E87" s="436"/>
      <c r="F87" s="436"/>
      <c r="G87" s="436"/>
      <c r="H87" s="53"/>
      <c r="I87" s="53"/>
      <c r="J87" s="53"/>
      <c r="K87" s="53"/>
      <c r="L87" s="53"/>
      <c r="M87" s="53"/>
      <c r="N87" s="53"/>
    </row>
    <row r="88" spans="1:14" ht="27.05" customHeight="1" x14ac:dyDescent="0.4">
      <c r="A88" s="2"/>
      <c r="B88" s="533"/>
      <c r="C88" s="350" t="s">
        <v>1584</v>
      </c>
      <c r="D88" s="287">
        <v>52.95</v>
      </c>
      <c r="E88" s="436"/>
      <c r="F88" s="436"/>
      <c r="G88" s="436"/>
      <c r="H88" s="53"/>
      <c r="I88" s="53"/>
      <c r="J88" s="53"/>
      <c r="K88" s="53"/>
      <c r="L88" s="53"/>
      <c r="M88" s="53"/>
      <c r="N88" s="53"/>
    </row>
    <row r="89" spans="1:14" x14ac:dyDescent="0.4">
      <c r="A89" s="2"/>
      <c r="B89" s="533"/>
      <c r="C89" s="350" t="s">
        <v>1585</v>
      </c>
      <c r="D89" s="287">
        <v>136.03</v>
      </c>
      <c r="E89" s="436"/>
      <c r="F89" s="436"/>
      <c r="G89" s="436"/>
      <c r="H89" s="53"/>
      <c r="I89" s="53"/>
      <c r="J89" s="53"/>
      <c r="K89" s="53"/>
      <c r="L89" s="53"/>
      <c r="M89" s="53"/>
      <c r="N89" s="53"/>
    </row>
    <row r="90" spans="1:14" x14ac:dyDescent="0.4">
      <c r="A90" s="2"/>
      <c r="B90" s="534"/>
      <c r="C90" s="207" t="s">
        <v>74</v>
      </c>
      <c r="D90" s="132">
        <f>+(D87+D88+D89)/3</f>
        <v>75.206666666666663</v>
      </c>
      <c r="E90" s="436"/>
      <c r="F90" s="436"/>
      <c r="G90" s="436"/>
      <c r="H90" s="53"/>
      <c r="I90" s="53"/>
      <c r="J90" s="53"/>
      <c r="K90" s="53"/>
      <c r="L90" s="53"/>
      <c r="M90" s="53"/>
      <c r="N90" s="53"/>
    </row>
    <row r="91" spans="1:14" ht="25.65" x14ac:dyDescent="0.4">
      <c r="A91" s="2"/>
      <c r="B91" s="411" t="s">
        <v>76</v>
      </c>
      <c r="C91" s="207" t="s">
        <v>1582</v>
      </c>
      <c r="D91" s="55">
        <v>33.270000000000003</v>
      </c>
      <c r="E91" s="436"/>
      <c r="F91" s="436"/>
      <c r="G91" s="436"/>
      <c r="H91" s="53"/>
      <c r="I91" s="53"/>
      <c r="J91" s="53"/>
      <c r="K91" s="53"/>
      <c r="L91" s="53"/>
      <c r="M91" s="53"/>
      <c r="N91" s="53"/>
    </row>
    <row r="92" spans="1:14" x14ac:dyDescent="0.4">
      <c r="A92" s="2"/>
      <c r="B92" s="533"/>
      <c r="C92" s="207" t="s">
        <v>987</v>
      </c>
      <c r="D92" s="287"/>
      <c r="E92" s="436"/>
      <c r="F92" s="436"/>
      <c r="G92" s="436"/>
      <c r="H92" s="53"/>
      <c r="I92" s="53"/>
      <c r="J92" s="53"/>
      <c r="K92" s="53"/>
      <c r="L92" s="53"/>
      <c r="M92" s="53"/>
      <c r="N92" s="53"/>
    </row>
    <row r="93" spans="1:14" ht="26.5" x14ac:dyDescent="0.4">
      <c r="A93" s="2"/>
      <c r="B93" s="533"/>
      <c r="C93" s="350" t="s">
        <v>1583</v>
      </c>
      <c r="D93" s="287">
        <v>12.55</v>
      </c>
      <c r="E93" s="436"/>
      <c r="F93" s="436"/>
      <c r="G93" s="436"/>
      <c r="H93" s="53"/>
      <c r="I93" s="53"/>
      <c r="J93" s="53"/>
      <c r="K93" s="53"/>
      <c r="L93" s="53"/>
      <c r="M93" s="53"/>
      <c r="N93" s="53"/>
    </row>
    <row r="94" spans="1:14" ht="29.4" customHeight="1" x14ac:dyDescent="0.4">
      <c r="A94" s="2"/>
      <c r="B94" s="533"/>
      <c r="C94" s="350" t="s">
        <v>1584</v>
      </c>
      <c r="D94" s="287">
        <v>10.87</v>
      </c>
      <c r="E94" s="436"/>
      <c r="F94" s="436"/>
      <c r="G94" s="436"/>
      <c r="H94" s="53"/>
      <c r="I94" s="53"/>
      <c r="J94" s="53"/>
      <c r="K94" s="53"/>
      <c r="L94" s="53"/>
      <c r="M94" s="53"/>
      <c r="N94" s="53"/>
    </row>
    <row r="95" spans="1:14" x14ac:dyDescent="0.4">
      <c r="A95" s="2"/>
      <c r="B95" s="533"/>
      <c r="C95" s="350" t="s">
        <v>1585</v>
      </c>
      <c r="D95" s="287">
        <v>12.4</v>
      </c>
      <c r="E95" s="436"/>
      <c r="F95" s="436"/>
      <c r="G95" s="436"/>
      <c r="H95" s="53"/>
      <c r="I95" s="53"/>
      <c r="J95" s="53"/>
      <c r="K95" s="53"/>
      <c r="L95" s="53"/>
      <c r="M95" s="53"/>
      <c r="N95" s="53"/>
    </row>
    <row r="96" spans="1:14" x14ac:dyDescent="0.4">
      <c r="A96" s="2"/>
      <c r="B96" s="534"/>
      <c r="C96" s="207" t="s">
        <v>74</v>
      </c>
      <c r="D96" s="132">
        <f>+(D93+D94+D95)/3</f>
        <v>11.94</v>
      </c>
      <c r="E96" s="436"/>
      <c r="F96" s="436"/>
      <c r="G96" s="436"/>
      <c r="H96" s="53"/>
      <c r="I96" s="53"/>
      <c r="J96" s="53"/>
      <c r="K96" s="53"/>
      <c r="L96" s="53"/>
      <c r="M96" s="53"/>
      <c r="N96" s="53"/>
    </row>
    <row r="97" spans="1:14" ht="25.65" x14ac:dyDescent="0.4">
      <c r="A97" s="2"/>
      <c r="B97" s="603" t="s">
        <v>77</v>
      </c>
      <c r="C97" s="207" t="s">
        <v>1582</v>
      </c>
      <c r="D97" s="287">
        <v>21.3</v>
      </c>
      <c r="E97" s="436"/>
      <c r="F97" s="436"/>
      <c r="G97" s="436"/>
      <c r="H97" s="53"/>
      <c r="I97" s="53"/>
      <c r="J97" s="53"/>
      <c r="K97" s="53"/>
      <c r="L97" s="53"/>
      <c r="M97" s="53"/>
      <c r="N97" s="53"/>
    </row>
    <row r="98" spans="1:14" x14ac:dyDescent="0.4">
      <c r="A98" s="2"/>
      <c r="B98" s="604"/>
      <c r="C98" s="207" t="s">
        <v>987</v>
      </c>
      <c r="D98" s="287"/>
      <c r="E98" s="436"/>
      <c r="F98" s="436"/>
      <c r="G98" s="436"/>
      <c r="H98" s="53"/>
      <c r="I98" s="53"/>
      <c r="J98" s="53"/>
      <c r="K98" s="53"/>
      <c r="L98" s="53"/>
      <c r="M98" s="53"/>
      <c r="N98" s="53"/>
    </row>
    <row r="99" spans="1:14" ht="26.5" x14ac:dyDescent="0.4">
      <c r="A99" s="2"/>
      <c r="B99" s="604"/>
      <c r="C99" s="350" t="s">
        <v>1583</v>
      </c>
      <c r="D99" s="287">
        <v>223.31</v>
      </c>
      <c r="E99" s="436"/>
      <c r="F99" s="436"/>
      <c r="G99" s="436"/>
      <c r="H99" s="53"/>
      <c r="I99" s="53"/>
      <c r="J99" s="53"/>
      <c r="K99" s="53"/>
      <c r="L99" s="53"/>
      <c r="M99" s="53"/>
      <c r="N99" s="53"/>
    </row>
    <row r="100" spans="1:14" ht="25.85" customHeight="1" x14ac:dyDescent="0.4">
      <c r="A100" s="2"/>
      <c r="B100" s="604"/>
      <c r="C100" s="350" t="s">
        <v>1584</v>
      </c>
      <c r="D100" s="287">
        <v>313.67</v>
      </c>
      <c r="E100" s="436"/>
      <c r="F100" s="436"/>
      <c r="G100" s="436"/>
      <c r="H100" s="53"/>
      <c r="I100" s="53"/>
      <c r="J100" s="53"/>
      <c r="K100" s="53"/>
      <c r="L100" s="53"/>
      <c r="M100" s="53"/>
      <c r="N100" s="53"/>
    </row>
    <row r="101" spans="1:14" x14ac:dyDescent="0.4">
      <c r="A101" s="2"/>
      <c r="B101" s="604"/>
      <c r="C101" s="350" t="s">
        <v>1585</v>
      </c>
      <c r="D101" s="287">
        <v>87.09</v>
      </c>
      <c r="E101" s="436"/>
      <c r="F101" s="436"/>
      <c r="G101" s="436"/>
      <c r="H101" s="53"/>
      <c r="I101" s="53"/>
      <c r="J101" s="53"/>
      <c r="K101" s="53"/>
      <c r="L101" s="53"/>
      <c r="M101" s="53"/>
      <c r="N101" s="53"/>
    </row>
    <row r="102" spans="1:14" ht="15.05" customHeight="1" x14ac:dyDescent="0.4">
      <c r="A102" s="2"/>
      <c r="B102" s="604"/>
      <c r="C102" s="207" t="s">
        <v>74</v>
      </c>
      <c r="D102" s="132">
        <f>+(D99+D100+D101)/3</f>
        <v>208.02333333333334</v>
      </c>
      <c r="E102" s="547"/>
      <c r="F102" s="547"/>
      <c r="G102" s="547"/>
      <c r="H102" s="53"/>
      <c r="I102" s="53"/>
      <c r="J102" s="53"/>
      <c r="K102" s="53"/>
      <c r="L102" s="53"/>
      <c r="M102" s="53"/>
      <c r="N102" s="53"/>
    </row>
    <row r="103" spans="1:14" ht="15.8" customHeight="1" x14ac:dyDescent="0.4">
      <c r="A103" s="8"/>
      <c r="B103" s="608" t="s">
        <v>1586</v>
      </c>
      <c r="C103" s="609"/>
      <c r="D103" s="609"/>
      <c r="E103" s="609"/>
      <c r="F103" s="609"/>
      <c r="G103" s="610"/>
      <c r="H103" s="53"/>
      <c r="I103" s="53"/>
      <c r="J103" s="8"/>
      <c r="K103" s="8"/>
      <c r="L103" s="8"/>
      <c r="M103" s="8"/>
      <c r="N103" s="8"/>
    </row>
    <row r="104" spans="1:14" x14ac:dyDescent="0.4">
      <c r="A104" s="9">
        <v>14</v>
      </c>
      <c r="B104" s="418" t="s">
        <v>85</v>
      </c>
      <c r="C104" s="419"/>
      <c r="D104" s="419"/>
      <c r="E104" s="419"/>
      <c r="F104" s="419"/>
      <c r="G104" s="420"/>
      <c r="H104" s="8"/>
      <c r="I104" s="8"/>
      <c r="J104" s="8"/>
      <c r="K104" s="8"/>
      <c r="L104" s="8"/>
      <c r="M104" s="8"/>
      <c r="N104" s="8"/>
    </row>
    <row r="105" spans="1:14" x14ac:dyDescent="0.4">
      <c r="A105" s="23"/>
      <c r="B105" s="61" t="s">
        <v>78</v>
      </c>
      <c r="C105" s="497" t="s">
        <v>41</v>
      </c>
      <c r="D105" s="497"/>
      <c r="E105" s="497"/>
      <c r="F105" s="497"/>
      <c r="G105" s="497"/>
      <c r="H105" s="8"/>
      <c r="I105" s="8"/>
      <c r="J105" s="8"/>
      <c r="K105" s="8"/>
      <c r="L105" s="8"/>
      <c r="M105" s="8"/>
      <c r="N105" s="8"/>
    </row>
    <row r="106" spans="1:14" x14ac:dyDescent="0.4">
      <c r="A106" s="8"/>
      <c r="B106" s="8"/>
      <c r="C106" s="10"/>
      <c r="D106" s="208"/>
      <c r="E106" s="200"/>
      <c r="F106" s="200"/>
      <c r="G106" s="200"/>
      <c r="H106" s="8"/>
      <c r="I106" s="8"/>
      <c r="J106" s="8"/>
      <c r="K106" s="8"/>
      <c r="L106" s="8"/>
      <c r="M106" s="8"/>
      <c r="N106" s="8"/>
    </row>
    <row r="107" spans="1:14" x14ac:dyDescent="0.4">
      <c r="B107" s="538" t="s">
        <v>1587</v>
      </c>
      <c r="C107" s="538"/>
      <c r="D107" s="538"/>
      <c r="E107" s="538"/>
      <c r="F107" s="538"/>
      <c r="G107" s="538"/>
    </row>
    <row r="108" spans="1:14" x14ac:dyDescent="0.4">
      <c r="C108" s="200"/>
    </row>
    <row r="109" spans="1:14" x14ac:dyDescent="0.4">
      <c r="B109" s="497" t="s">
        <v>1490</v>
      </c>
      <c r="C109" s="497"/>
      <c r="D109" s="497"/>
      <c r="E109" s="497"/>
      <c r="F109" s="497"/>
      <c r="G109" s="497"/>
    </row>
    <row r="110" spans="1:14" x14ac:dyDescent="0.4">
      <c r="C110" s="238"/>
    </row>
    <row r="111" spans="1:14" x14ac:dyDescent="0.4">
      <c r="C111" s="228"/>
      <c r="D111" s="228"/>
    </row>
    <row r="112" spans="1:14" x14ac:dyDescent="0.4">
      <c r="C112" s="228"/>
    </row>
  </sheetData>
  <sheetProtection algorithmName="SHA-512" hashValue="tmPbOicbL704e14YqbtB1y2ETFn5fbcViTmy6e705JpVeSp58F+28qx9waT4Sk76ddYhDaRzGnPk8JZZvtK40Q==" saltValue="gjPgatra7ZpgF24qwBja8Q==" spinCount="100000" sheet="1" objects="1" scenarios="1"/>
  <mergeCells count="69">
    <mergeCell ref="B103:G103"/>
    <mergeCell ref="B104:G104"/>
    <mergeCell ref="C105:G105"/>
    <mergeCell ref="B107:G107"/>
    <mergeCell ref="B109:G109"/>
    <mergeCell ref="B73:N73"/>
    <mergeCell ref="B74:N74"/>
    <mergeCell ref="B76:G76"/>
    <mergeCell ref="B79:B84"/>
    <mergeCell ref="E79:E102"/>
    <mergeCell ref="F79:F102"/>
    <mergeCell ref="G79:G102"/>
    <mergeCell ref="B85:B90"/>
    <mergeCell ref="B91:B96"/>
    <mergeCell ref="B97:B102"/>
    <mergeCell ref="B72:N72"/>
    <mergeCell ref="B64:B65"/>
    <mergeCell ref="C64:C65"/>
    <mergeCell ref="D64:D65"/>
    <mergeCell ref="E64:E65"/>
    <mergeCell ref="F64:H64"/>
    <mergeCell ref="I64:K64"/>
    <mergeCell ref="L64:N64"/>
    <mergeCell ref="C68:N68"/>
    <mergeCell ref="B69:N69"/>
    <mergeCell ref="B70:N70"/>
    <mergeCell ref="B71:N71"/>
    <mergeCell ref="C62:E62"/>
    <mergeCell ref="B43:E43"/>
    <mergeCell ref="B45:E45"/>
    <mergeCell ref="B48:E48"/>
    <mergeCell ref="B50:E50"/>
    <mergeCell ref="B51:B52"/>
    <mergeCell ref="C51:E52"/>
    <mergeCell ref="C53:E53"/>
    <mergeCell ref="C54:E54"/>
    <mergeCell ref="B55:E55"/>
    <mergeCell ref="B56:E56"/>
    <mergeCell ref="C58:E58"/>
    <mergeCell ref="C42:E42"/>
    <mergeCell ref="C27:C30"/>
    <mergeCell ref="D27:D30"/>
    <mergeCell ref="E27:E30"/>
    <mergeCell ref="B31:E31"/>
    <mergeCell ref="B33:E33"/>
    <mergeCell ref="C34:E34"/>
    <mergeCell ref="C35:E35"/>
    <mergeCell ref="C36:E36"/>
    <mergeCell ref="B39:E39"/>
    <mergeCell ref="C40:E40"/>
    <mergeCell ref="C41:E41"/>
    <mergeCell ref="B25:E25"/>
    <mergeCell ref="C11:E11"/>
    <mergeCell ref="B12:E12"/>
    <mergeCell ref="C14:E14"/>
    <mergeCell ref="B15:E15"/>
    <mergeCell ref="B17:E17"/>
    <mergeCell ref="C18:E18"/>
    <mergeCell ref="C19:E19"/>
    <mergeCell ref="C20:E20"/>
    <mergeCell ref="C21:E21"/>
    <mergeCell ref="C22:E22"/>
    <mergeCell ref="B24:E24"/>
    <mergeCell ref="B9:E9"/>
    <mergeCell ref="A1:B1"/>
    <mergeCell ref="C3:E3"/>
    <mergeCell ref="C5:E5"/>
    <mergeCell ref="B6:E6"/>
    <mergeCell ref="C8:E8"/>
  </mergeCells>
  <pageMargins left="0.7" right="0.7" top="0.75" bottom="0.75" header="0.3" footer="0.3"/>
  <pageSetup paperSize="8" scale="95" orientation="landscape" verticalDpi="0" r:id="rId1"/>
  <rowBreaks count="1" manualBreakCount="1">
    <brk id="69" max="1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A8AEA-1362-4B0C-8991-F3E39E8AF573}">
  <dimension ref="A1:N100"/>
  <sheetViews>
    <sheetView view="pageBreakPreview" topLeftCell="A32" zoomScale="60" zoomScaleNormal="100" workbookViewId="0">
      <selection activeCell="B61" sqref="B61:E61"/>
    </sheetView>
  </sheetViews>
  <sheetFormatPr defaultColWidth="9.07421875" defaultRowHeight="14.6" x14ac:dyDescent="0.4"/>
  <cols>
    <col min="1" max="1" width="6.4609375" bestFit="1" customWidth="1"/>
    <col min="2" max="2" width="49.53515625" customWidth="1"/>
    <col min="3" max="3" width="19.53515625" customWidth="1"/>
    <col min="4" max="4" width="18.07421875" customWidth="1"/>
    <col min="5" max="5" width="18.69140625" customWidth="1"/>
    <col min="6" max="6" width="9.3046875" bestFit="1" customWidth="1"/>
    <col min="8" max="8" width="11.4609375" bestFit="1" customWidth="1"/>
    <col min="9" max="9" width="10.07421875" bestFit="1" customWidth="1"/>
    <col min="10"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1560</v>
      </c>
      <c r="D3" s="497"/>
      <c r="E3" s="497"/>
      <c r="F3" s="8"/>
      <c r="G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702</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1561</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40.7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1625</v>
      </c>
      <c r="D14" s="497"/>
      <c r="E14" s="497"/>
      <c r="F14" s="8"/>
      <c r="G14" s="8"/>
      <c r="H14" s="8"/>
      <c r="I14" s="8"/>
      <c r="J14" s="8"/>
      <c r="K14" s="8"/>
      <c r="L14" s="8"/>
      <c r="M14" s="8"/>
      <c r="N14" s="8"/>
    </row>
    <row r="15" spans="1:14" x14ac:dyDescent="0.4">
      <c r="A15" s="9"/>
      <c r="B15" s="480" t="s">
        <v>10</v>
      </c>
      <c r="C15" s="480"/>
      <c r="D15" s="480"/>
      <c r="E15" s="480"/>
      <c r="F15" s="8"/>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14" t="s">
        <v>12</v>
      </c>
      <c r="C18" s="605">
        <v>12.49</v>
      </c>
      <c r="D18" s="606"/>
      <c r="E18" s="607"/>
      <c r="F18" s="15"/>
      <c r="G18" s="13"/>
      <c r="H18" s="13"/>
      <c r="I18" s="13"/>
      <c r="J18" s="13"/>
      <c r="K18" s="13"/>
      <c r="L18" s="13"/>
      <c r="M18" s="13"/>
      <c r="N18" s="13"/>
    </row>
    <row r="19" spans="1:14" ht="25.65" x14ac:dyDescent="0.4">
      <c r="A19" s="9"/>
      <c r="B19" s="14" t="s">
        <v>1517</v>
      </c>
      <c r="C19" s="605" t="s">
        <v>1516</v>
      </c>
      <c r="D19" s="606"/>
      <c r="E19" s="607"/>
      <c r="F19" s="15"/>
      <c r="G19" s="13" t="s">
        <v>693</v>
      </c>
      <c r="H19" s="8"/>
      <c r="I19" s="13"/>
      <c r="J19" s="13"/>
      <c r="K19" s="13"/>
      <c r="L19" s="13"/>
      <c r="M19" s="13"/>
      <c r="N19" s="13"/>
    </row>
    <row r="20" spans="1:14" x14ac:dyDescent="0.4">
      <c r="A20" s="9"/>
      <c r="B20" s="14" t="s">
        <v>605</v>
      </c>
      <c r="C20" s="446" t="s">
        <v>319</v>
      </c>
      <c r="D20" s="446"/>
      <c r="E20" s="446"/>
      <c r="F20" s="15"/>
      <c r="G20" s="13"/>
      <c r="H20" s="13"/>
      <c r="I20" s="13"/>
      <c r="J20" s="13"/>
      <c r="K20" s="13"/>
      <c r="L20" s="13"/>
      <c r="M20" s="13"/>
      <c r="N20" s="13"/>
    </row>
    <row r="21" spans="1:14" x14ac:dyDescent="0.4">
      <c r="A21" s="9"/>
      <c r="B21" s="17" t="s">
        <v>15</v>
      </c>
      <c r="C21" s="446" t="s">
        <v>320</v>
      </c>
      <c r="D21" s="446"/>
      <c r="E21" s="446"/>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8"/>
      <c r="C23" s="13"/>
      <c r="D23" s="169"/>
      <c r="E23" s="13"/>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709</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c r="B38" s="15"/>
      <c r="C38" s="13"/>
      <c r="D38" s="169"/>
      <c r="E38" s="13"/>
      <c r="F38" s="13"/>
      <c r="G38" s="8"/>
      <c r="H38" s="8"/>
      <c r="I38" s="8"/>
      <c r="J38" s="8"/>
      <c r="K38" s="8"/>
      <c r="L38" s="8"/>
      <c r="M38" s="8"/>
      <c r="N38" s="8"/>
    </row>
    <row r="39" spans="1:14" x14ac:dyDescent="0.4">
      <c r="A39" s="9">
        <v>8</v>
      </c>
      <c r="B39" s="365" t="s">
        <v>1084</v>
      </c>
      <c r="C39" s="365"/>
      <c r="D39" s="365"/>
      <c r="E39" s="365"/>
      <c r="F39" s="11"/>
      <c r="G39" s="11"/>
      <c r="H39" s="11"/>
      <c r="I39" s="11"/>
      <c r="J39" s="11"/>
      <c r="K39" s="8"/>
      <c r="L39" s="8"/>
      <c r="M39" s="8"/>
      <c r="N39" s="8"/>
    </row>
    <row r="40" spans="1:14" ht="15.05" customHeight="1" x14ac:dyDescent="0.4">
      <c r="A40" s="9"/>
      <c r="B40" s="17" t="s">
        <v>34</v>
      </c>
      <c r="C40" s="373" t="s">
        <v>319</v>
      </c>
      <c r="D40" s="374"/>
      <c r="E40" s="375"/>
      <c r="F40" s="13"/>
      <c r="G40" s="8"/>
      <c r="H40" s="8"/>
      <c r="I40" s="8"/>
      <c r="J40" s="8"/>
      <c r="K40" s="8"/>
      <c r="L40" s="8"/>
      <c r="M40" s="8"/>
      <c r="N40" s="8"/>
    </row>
    <row r="41" spans="1:14" x14ac:dyDescent="0.4">
      <c r="A41" s="9"/>
      <c r="B41" s="17" t="s">
        <v>31</v>
      </c>
      <c r="C41" s="373" t="s">
        <v>320</v>
      </c>
      <c r="D41" s="374"/>
      <c r="E41" s="375"/>
      <c r="F41" s="13"/>
      <c r="G41" s="8"/>
      <c r="H41" s="8"/>
      <c r="I41" s="8"/>
      <c r="J41" s="8"/>
      <c r="K41" s="8"/>
      <c r="L41" s="8"/>
      <c r="M41" s="8"/>
      <c r="N41" s="8"/>
    </row>
    <row r="42" spans="1:14" x14ac:dyDescent="0.4">
      <c r="A42" s="9"/>
      <c r="B42" s="17" t="s">
        <v>32</v>
      </c>
      <c r="C42" s="446" t="s">
        <v>201</v>
      </c>
      <c r="D42" s="446"/>
      <c r="E42" s="446"/>
      <c r="F42" s="13"/>
      <c r="G42" s="8"/>
      <c r="H42" s="8"/>
      <c r="I42" s="8"/>
      <c r="J42" s="8"/>
      <c r="K42" s="8"/>
      <c r="L42" s="8"/>
      <c r="M42" s="8"/>
      <c r="N42" s="8"/>
    </row>
    <row r="43" spans="1:14" x14ac:dyDescent="0.4">
      <c r="A43" s="9"/>
      <c r="B43" s="363" t="s">
        <v>848</v>
      </c>
      <c r="C43" s="368"/>
      <c r="D43" s="368"/>
      <c r="E43" s="369"/>
      <c r="F43" s="13"/>
      <c r="G43" s="8"/>
      <c r="H43" s="8"/>
      <c r="I43" s="8"/>
      <c r="J43" s="8"/>
      <c r="K43" s="8"/>
      <c r="L43" s="8"/>
      <c r="M43" s="8"/>
      <c r="N43" s="8"/>
    </row>
    <row r="44" spans="1:14" x14ac:dyDescent="0.4">
      <c r="A44" s="2"/>
      <c r="B44" s="8"/>
      <c r="C44" s="8"/>
      <c r="D44" s="173"/>
      <c r="E44" s="13"/>
      <c r="F44" s="8"/>
      <c r="G44" s="8"/>
      <c r="H44" s="8"/>
      <c r="I44" s="8"/>
      <c r="J44" s="8"/>
      <c r="K44" s="8"/>
      <c r="L44" s="8"/>
      <c r="M44" s="8"/>
      <c r="N44" s="8"/>
    </row>
    <row r="45" spans="1:14" x14ac:dyDescent="0.4">
      <c r="A45" s="24">
        <v>9</v>
      </c>
      <c r="B45" s="376" t="s">
        <v>1085</v>
      </c>
      <c r="C45" s="365"/>
      <c r="D45" s="365"/>
      <c r="E45" s="365"/>
      <c r="F45" s="25"/>
      <c r="G45" s="11"/>
      <c r="H45" s="11"/>
      <c r="I45" s="11"/>
      <c r="J45" s="8"/>
      <c r="K45" s="8"/>
      <c r="L45" s="8"/>
      <c r="M45" s="8"/>
      <c r="N45" s="8"/>
    </row>
    <row r="46" spans="1:14" ht="38.450000000000003" x14ac:dyDescent="0.4">
      <c r="A46" s="24"/>
      <c r="B46" s="26" t="s">
        <v>37</v>
      </c>
      <c r="C46" s="27" t="s">
        <v>38</v>
      </c>
      <c r="D46" s="174" t="s">
        <v>39</v>
      </c>
      <c r="E46" s="27" t="s">
        <v>206</v>
      </c>
      <c r="F46" s="8"/>
      <c r="G46" s="8"/>
      <c r="H46" s="8"/>
      <c r="I46" s="8"/>
      <c r="J46" s="8"/>
      <c r="K46" s="8"/>
      <c r="L46" s="8"/>
      <c r="M46" s="8"/>
      <c r="N46" s="8"/>
    </row>
    <row r="47" spans="1:14" ht="145.80000000000001" x14ac:dyDescent="0.4">
      <c r="A47" s="29"/>
      <c r="B47" s="78" t="s">
        <v>1562</v>
      </c>
      <c r="C47" s="78" t="s">
        <v>1563</v>
      </c>
      <c r="D47" s="78" t="s">
        <v>1564</v>
      </c>
      <c r="E47" s="117" t="s">
        <v>83</v>
      </c>
      <c r="F47" s="8"/>
      <c r="G47" s="8"/>
      <c r="H47" s="8"/>
      <c r="I47" s="8"/>
      <c r="J47" s="8"/>
      <c r="K47" s="8"/>
      <c r="L47" s="8"/>
      <c r="M47" s="8"/>
      <c r="N47" s="8"/>
    </row>
    <row r="48" spans="1:14" x14ac:dyDescent="0.4">
      <c r="A48" s="31"/>
      <c r="B48" s="380" t="s">
        <v>1566</v>
      </c>
      <c r="C48" s="381"/>
      <c r="D48" s="381"/>
      <c r="E48" s="382"/>
      <c r="F48" s="15"/>
      <c r="G48" s="15"/>
      <c r="H48" s="15"/>
      <c r="I48" s="8"/>
      <c r="J48" s="8"/>
      <c r="K48" s="8"/>
      <c r="L48" s="8"/>
      <c r="M48" s="8"/>
      <c r="N48" s="8"/>
    </row>
    <row r="49" spans="1:14" x14ac:dyDescent="0.4">
      <c r="A49" s="32"/>
      <c r="B49" s="62"/>
      <c r="C49" s="23"/>
      <c r="D49" s="173"/>
      <c r="E49" s="23"/>
      <c r="F49" s="15"/>
      <c r="G49" s="15"/>
      <c r="H49" s="15"/>
      <c r="I49" s="15"/>
      <c r="J49" s="8"/>
      <c r="K49" s="8"/>
      <c r="L49" s="8"/>
      <c r="M49" s="8"/>
      <c r="N49" s="8"/>
    </row>
    <row r="50" spans="1:14" x14ac:dyDescent="0.4">
      <c r="A50" s="24">
        <v>10</v>
      </c>
      <c r="B50" s="376" t="s">
        <v>1085</v>
      </c>
      <c r="C50" s="365"/>
      <c r="D50" s="365"/>
      <c r="E50" s="365"/>
      <c r="F50" s="15"/>
      <c r="G50" s="15"/>
      <c r="H50" s="15"/>
      <c r="I50" s="8"/>
      <c r="J50" s="8"/>
      <c r="K50" s="8"/>
      <c r="L50" s="8"/>
      <c r="M50" s="8"/>
      <c r="N50" s="8"/>
    </row>
    <row r="51" spans="1:14" ht="54" customHeight="1" x14ac:dyDescent="0.4">
      <c r="A51" s="29"/>
      <c r="B51" s="383" t="s">
        <v>43</v>
      </c>
      <c r="C51" s="581" t="s">
        <v>1563</v>
      </c>
      <c r="D51" s="582"/>
      <c r="E51" s="583"/>
      <c r="F51" s="8"/>
      <c r="G51" s="8"/>
      <c r="H51" s="8"/>
      <c r="I51" s="8"/>
      <c r="J51" s="8"/>
      <c r="K51" s="1"/>
      <c r="L51" s="8"/>
      <c r="M51" s="8"/>
      <c r="N51" s="8"/>
    </row>
    <row r="52" spans="1:14" ht="12.05" customHeight="1" x14ac:dyDescent="0.4">
      <c r="A52" s="29"/>
      <c r="B52" s="384"/>
      <c r="C52" s="584"/>
      <c r="D52" s="585"/>
      <c r="E52" s="586"/>
      <c r="F52" s="8"/>
      <c r="G52" s="8"/>
      <c r="H52" s="8"/>
      <c r="I52" s="8"/>
      <c r="J52" s="8"/>
      <c r="K52" s="1"/>
      <c r="L52" s="8"/>
      <c r="M52" s="8"/>
      <c r="N52" s="8"/>
    </row>
    <row r="53" spans="1:14" ht="42.65" customHeight="1" x14ac:dyDescent="0.4">
      <c r="A53" s="24"/>
      <c r="B53" s="33" t="s">
        <v>1549</v>
      </c>
      <c r="C53" s="391" t="s">
        <v>1564</v>
      </c>
      <c r="D53" s="391"/>
      <c r="E53" s="391"/>
      <c r="F53" s="8"/>
      <c r="G53" s="8"/>
      <c r="H53" s="8"/>
      <c r="I53" s="8"/>
      <c r="J53" s="8"/>
      <c r="K53" s="8"/>
      <c r="L53" s="8"/>
      <c r="M53" s="8"/>
      <c r="N53" s="8"/>
    </row>
    <row r="54" spans="1:14" x14ac:dyDescent="0.4">
      <c r="A54" s="29"/>
      <c r="B54" s="33" t="s">
        <v>45</v>
      </c>
      <c r="C54" s="471" t="s">
        <v>46</v>
      </c>
      <c r="D54" s="472"/>
      <c r="E54" s="473"/>
      <c r="F54" s="8"/>
      <c r="G54" s="8"/>
      <c r="H54" s="8"/>
      <c r="I54" s="8"/>
      <c r="J54" s="8"/>
      <c r="K54" s="34"/>
      <c r="L54" s="8"/>
      <c r="M54" s="8"/>
      <c r="N54" s="8"/>
    </row>
    <row r="55" spans="1:14" x14ac:dyDescent="0.4">
      <c r="A55" s="29"/>
      <c r="B55" s="380" t="s">
        <v>1566</v>
      </c>
      <c r="C55" s="381"/>
      <c r="D55" s="381"/>
      <c r="E55" s="382"/>
      <c r="F55" s="8"/>
      <c r="G55" s="8"/>
      <c r="H55" s="8"/>
      <c r="I55" s="8"/>
      <c r="J55" s="8"/>
      <c r="K55" s="34"/>
      <c r="L55" s="8"/>
      <c r="M55" s="8"/>
      <c r="N55" s="8"/>
    </row>
    <row r="56" spans="1:14" x14ac:dyDescent="0.4">
      <c r="A56" s="35" t="s">
        <v>47</v>
      </c>
      <c r="B56" s="392" t="s">
        <v>48</v>
      </c>
      <c r="C56" s="392"/>
      <c r="D56" s="392"/>
      <c r="E56" s="392"/>
      <c r="F56" s="63"/>
      <c r="G56" s="63"/>
      <c r="H56" s="296"/>
      <c r="I56" s="63"/>
      <c r="J56" s="63"/>
      <c r="K56" s="63"/>
      <c r="L56" s="63"/>
      <c r="M56" s="63"/>
      <c r="N56" s="63"/>
    </row>
    <row r="57" spans="1:14" x14ac:dyDescent="0.4">
      <c r="A57" s="40"/>
      <c r="B57" s="41"/>
      <c r="C57" s="42"/>
      <c r="D57" s="175"/>
      <c r="E57" s="42"/>
      <c r="F57" s="42"/>
      <c r="G57" s="8"/>
      <c r="H57" s="230"/>
      <c r="I57" s="8"/>
      <c r="J57" s="8"/>
      <c r="K57" s="8"/>
      <c r="L57" s="8"/>
      <c r="M57" s="8"/>
      <c r="N57" s="8"/>
    </row>
    <row r="58" spans="1:14" x14ac:dyDescent="0.4">
      <c r="A58" s="9">
        <v>11</v>
      </c>
      <c r="B58" s="3" t="s">
        <v>49</v>
      </c>
      <c r="C58" s="580" t="s">
        <v>851</v>
      </c>
      <c r="D58" s="580"/>
      <c r="E58" s="580"/>
      <c r="F58" s="11"/>
      <c r="G58" s="11"/>
      <c r="H58" s="43"/>
      <c r="I58" s="11"/>
      <c r="J58" s="11"/>
      <c r="K58" s="8"/>
      <c r="L58" s="8"/>
      <c r="M58" s="8"/>
      <c r="N58" s="8"/>
    </row>
    <row r="59" spans="1:14" x14ac:dyDescent="0.4">
      <c r="A59" s="9"/>
      <c r="B59" s="15"/>
      <c r="C59" s="15"/>
      <c r="D59" s="170"/>
      <c r="E59" s="15"/>
      <c r="F59" s="15"/>
      <c r="G59" s="15"/>
      <c r="H59" s="44"/>
      <c r="I59" s="44"/>
      <c r="J59" s="15"/>
      <c r="K59" s="8"/>
      <c r="L59" s="8"/>
      <c r="M59" s="8"/>
      <c r="N59" s="8"/>
    </row>
    <row r="60" spans="1:14" x14ac:dyDescent="0.4">
      <c r="A60" s="9">
        <v>12</v>
      </c>
      <c r="B60" s="11" t="s">
        <v>51</v>
      </c>
      <c r="C60" s="11"/>
      <c r="D60" s="176"/>
      <c r="E60" s="43"/>
      <c r="F60" s="43"/>
      <c r="G60" s="11"/>
      <c r="H60" s="11"/>
      <c r="I60" s="11"/>
      <c r="J60" s="11"/>
      <c r="K60" s="11"/>
      <c r="L60" s="11"/>
      <c r="M60" s="11"/>
      <c r="N60" s="11"/>
    </row>
    <row r="61" spans="1:14" x14ac:dyDescent="0.4">
      <c r="A61" s="9"/>
      <c r="B61" s="11"/>
      <c r="C61" s="11"/>
      <c r="D61" s="176"/>
      <c r="E61" s="43"/>
      <c r="F61" s="43"/>
      <c r="G61" s="43"/>
      <c r="H61" s="11"/>
      <c r="I61" s="11"/>
      <c r="J61" s="11"/>
      <c r="K61" s="11"/>
      <c r="L61" s="11"/>
      <c r="M61" s="11"/>
      <c r="N61" s="11"/>
    </row>
    <row r="62" spans="1:14" x14ac:dyDescent="0.4">
      <c r="A62" s="9"/>
      <c r="B62" s="17" t="s">
        <v>52</v>
      </c>
      <c r="C62" s="446" t="s">
        <v>1568</v>
      </c>
      <c r="D62" s="446"/>
      <c r="E62" s="446"/>
      <c r="F62" s="44"/>
      <c r="G62" s="44"/>
      <c r="H62" s="118"/>
      <c r="I62" s="15"/>
      <c r="J62" s="15"/>
      <c r="K62" s="15"/>
      <c r="L62" s="15"/>
      <c r="M62" s="15"/>
      <c r="N62" s="15"/>
    </row>
    <row r="63" spans="1:14" x14ac:dyDescent="0.4">
      <c r="A63" s="9"/>
      <c r="B63" s="15"/>
      <c r="C63" s="15"/>
      <c r="D63" s="236"/>
      <c r="E63" s="118"/>
      <c r="F63" s="15"/>
      <c r="G63" s="15"/>
      <c r="H63" s="118"/>
      <c r="I63" s="118"/>
      <c r="J63" s="15"/>
      <c r="K63" s="15"/>
      <c r="L63" s="15"/>
      <c r="M63" s="15"/>
      <c r="N63" s="15"/>
    </row>
    <row r="64" spans="1:14" x14ac:dyDescent="0.4">
      <c r="A64" s="9"/>
      <c r="B64" s="365" t="s">
        <v>53</v>
      </c>
      <c r="C64" s="366" t="s">
        <v>1569</v>
      </c>
      <c r="D64" s="558" t="s">
        <v>343</v>
      </c>
      <c r="E64" s="403" t="s">
        <v>232</v>
      </c>
      <c r="F64" s="395" t="s">
        <v>626</v>
      </c>
      <c r="G64" s="396"/>
      <c r="H64" s="397"/>
      <c r="I64" s="398" t="s">
        <v>55</v>
      </c>
      <c r="J64" s="398"/>
      <c r="K64" s="398"/>
      <c r="L64" s="398" t="s">
        <v>56</v>
      </c>
      <c r="M64" s="398"/>
      <c r="N64" s="398"/>
    </row>
    <row r="65" spans="1:14" ht="38.450000000000003" x14ac:dyDescent="0.4">
      <c r="A65" s="2"/>
      <c r="B65" s="365"/>
      <c r="C65" s="402"/>
      <c r="D65" s="559"/>
      <c r="E65" s="404"/>
      <c r="F65" s="17" t="s">
        <v>57</v>
      </c>
      <c r="G65" s="17" t="s">
        <v>58</v>
      </c>
      <c r="H65" s="17" t="s">
        <v>59</v>
      </c>
      <c r="I65" s="17" t="s">
        <v>60</v>
      </c>
      <c r="J65" s="17" t="s">
        <v>58</v>
      </c>
      <c r="K65" s="17" t="s">
        <v>59</v>
      </c>
      <c r="L65" s="17" t="s">
        <v>60</v>
      </c>
      <c r="M65" s="17" t="s">
        <v>58</v>
      </c>
      <c r="N65" s="17" t="s">
        <v>59</v>
      </c>
    </row>
    <row r="66" spans="1:14" x14ac:dyDescent="0.4">
      <c r="A66" s="2"/>
      <c r="B66" s="17" t="s">
        <v>61</v>
      </c>
      <c r="C66" s="284">
        <v>66.5</v>
      </c>
      <c r="D66" s="101" t="s">
        <v>41</v>
      </c>
      <c r="E66" s="101" t="s">
        <v>41</v>
      </c>
      <c r="F66" s="101" t="s">
        <v>41</v>
      </c>
      <c r="G66" s="101" t="s">
        <v>41</v>
      </c>
      <c r="H66" s="101" t="s">
        <v>41</v>
      </c>
      <c r="I66" s="45" t="s">
        <v>41</v>
      </c>
      <c r="J66" s="45" t="s">
        <v>41</v>
      </c>
      <c r="K66" s="45" t="s">
        <v>41</v>
      </c>
      <c r="L66" s="45" t="s">
        <v>41</v>
      </c>
      <c r="M66" s="45" t="s">
        <v>41</v>
      </c>
      <c r="N66" s="45" t="s">
        <v>41</v>
      </c>
    </row>
    <row r="67" spans="1:14" x14ac:dyDescent="0.4">
      <c r="A67" s="2"/>
      <c r="B67" s="17" t="s">
        <v>216</v>
      </c>
      <c r="C67" s="284">
        <v>71731.42</v>
      </c>
      <c r="D67" s="101" t="s">
        <v>41</v>
      </c>
      <c r="E67" s="101" t="s">
        <v>41</v>
      </c>
      <c r="F67" s="101" t="s">
        <v>41</v>
      </c>
      <c r="G67" s="101" t="s">
        <v>41</v>
      </c>
      <c r="H67" s="101" t="s">
        <v>41</v>
      </c>
      <c r="I67" s="45" t="s">
        <v>41</v>
      </c>
      <c r="J67" s="45" t="s">
        <v>41</v>
      </c>
      <c r="K67" s="45" t="s">
        <v>41</v>
      </c>
      <c r="L67" s="45" t="s">
        <v>41</v>
      </c>
      <c r="M67" s="45" t="s">
        <v>41</v>
      </c>
      <c r="N67" s="45" t="s">
        <v>41</v>
      </c>
    </row>
    <row r="68" spans="1:14" x14ac:dyDescent="0.4">
      <c r="A68" s="2"/>
      <c r="B68" s="17" t="s">
        <v>1087</v>
      </c>
      <c r="C68" s="546" t="s">
        <v>83</v>
      </c>
      <c r="D68" s="546"/>
      <c r="E68" s="546"/>
      <c r="F68" s="546"/>
      <c r="G68" s="546"/>
      <c r="H68" s="546"/>
      <c r="I68" s="546"/>
      <c r="J68" s="546"/>
      <c r="K68" s="546"/>
      <c r="L68" s="546"/>
      <c r="M68" s="546"/>
      <c r="N68" s="546"/>
    </row>
    <row r="69" spans="1:14" s="8" customFormat="1" ht="13.25" x14ac:dyDescent="0.4">
      <c r="A69" s="2"/>
      <c r="B69" s="399" t="s">
        <v>1102</v>
      </c>
      <c r="C69" s="399"/>
      <c r="D69" s="399"/>
      <c r="E69" s="399"/>
      <c r="F69" s="399"/>
      <c r="G69" s="399"/>
      <c r="H69" s="399"/>
      <c r="I69" s="399"/>
      <c r="J69" s="399"/>
      <c r="K69" s="399"/>
      <c r="L69" s="399"/>
      <c r="M69" s="399"/>
      <c r="N69" s="399"/>
    </row>
    <row r="70" spans="1:14" x14ac:dyDescent="0.4">
      <c r="A70" s="2"/>
      <c r="B70" s="545" t="s">
        <v>17</v>
      </c>
      <c r="C70" s="545"/>
      <c r="D70" s="545"/>
      <c r="E70" s="545"/>
      <c r="F70" s="545"/>
      <c r="G70" s="545"/>
      <c r="H70" s="545"/>
      <c r="I70" s="545"/>
      <c r="J70" s="545"/>
      <c r="K70" s="545"/>
      <c r="L70" s="545"/>
      <c r="M70" s="545"/>
      <c r="N70" s="545"/>
    </row>
    <row r="71" spans="1:14" x14ac:dyDescent="0.4">
      <c r="A71" s="2"/>
      <c r="B71" s="480" t="s">
        <v>63</v>
      </c>
      <c r="C71" s="480"/>
      <c r="D71" s="480"/>
      <c r="E71" s="480"/>
      <c r="F71" s="480"/>
      <c r="G71" s="480"/>
      <c r="H71" s="480"/>
      <c r="I71" s="480"/>
      <c r="J71" s="480"/>
      <c r="K71" s="480"/>
      <c r="L71" s="480"/>
      <c r="M71" s="480"/>
      <c r="N71" s="480"/>
    </row>
    <row r="72" spans="1:14" x14ac:dyDescent="0.4">
      <c r="A72" s="1"/>
      <c r="B72" s="474" t="s">
        <v>64</v>
      </c>
      <c r="C72" s="474"/>
      <c r="D72" s="474"/>
      <c r="E72" s="474"/>
      <c r="F72" s="474"/>
      <c r="G72" s="474"/>
      <c r="H72" s="474"/>
      <c r="I72" s="474"/>
      <c r="J72" s="474"/>
      <c r="K72" s="474"/>
      <c r="L72" s="474"/>
      <c r="M72" s="474"/>
      <c r="N72" s="474"/>
    </row>
    <row r="73" spans="1:14" x14ac:dyDescent="0.4">
      <c r="A73" s="2"/>
      <c r="B73" s="359" t="s">
        <v>358</v>
      </c>
      <c r="C73" s="359"/>
      <c r="D73" s="359"/>
      <c r="E73" s="359"/>
      <c r="F73" s="359"/>
      <c r="G73" s="359"/>
      <c r="H73" s="359"/>
      <c r="I73" s="359"/>
      <c r="J73" s="359"/>
      <c r="K73" s="359"/>
      <c r="L73" s="359"/>
      <c r="M73" s="359"/>
      <c r="N73" s="359"/>
    </row>
    <row r="74" spans="1:14" x14ac:dyDescent="0.4">
      <c r="A74" s="2"/>
      <c r="B74" s="359" t="s">
        <v>65</v>
      </c>
      <c r="C74" s="359"/>
      <c r="D74" s="359"/>
      <c r="E74" s="359"/>
      <c r="F74" s="359"/>
      <c r="G74" s="359"/>
      <c r="H74" s="359"/>
      <c r="I74" s="359"/>
      <c r="J74" s="359"/>
      <c r="K74" s="359"/>
      <c r="L74" s="359"/>
      <c r="M74" s="359"/>
      <c r="N74" s="359"/>
    </row>
    <row r="75" spans="1:14" x14ac:dyDescent="0.4">
      <c r="A75" s="2"/>
      <c r="B75" s="49"/>
      <c r="C75" s="49"/>
      <c r="D75" s="177"/>
      <c r="E75" s="49"/>
      <c r="F75" s="49"/>
      <c r="G75" s="13"/>
      <c r="H75" s="13"/>
      <c r="I75" s="13"/>
      <c r="J75" s="13"/>
      <c r="K75" s="13"/>
      <c r="L75" s="13" t="s">
        <v>693</v>
      </c>
      <c r="M75" s="13"/>
      <c r="N75" s="13"/>
    </row>
    <row r="76" spans="1:14" ht="29.4" customHeight="1" x14ac:dyDescent="0.4">
      <c r="A76" s="9">
        <v>13</v>
      </c>
      <c r="B76" s="405" t="s">
        <v>66</v>
      </c>
      <c r="C76" s="406"/>
      <c r="D76" s="406"/>
      <c r="E76" s="406"/>
      <c r="F76" s="406"/>
      <c r="G76" s="376"/>
      <c r="H76" s="11"/>
      <c r="I76" s="11"/>
      <c r="J76" s="11"/>
      <c r="K76" s="11"/>
      <c r="L76" s="11"/>
      <c r="M76" s="11"/>
      <c r="N76" s="11"/>
    </row>
    <row r="77" spans="1:14" x14ac:dyDescent="0.4">
      <c r="A77" s="9"/>
      <c r="B77" s="8"/>
      <c r="C77" s="15"/>
      <c r="D77" s="170"/>
      <c r="E77" s="15"/>
      <c r="F77" s="15"/>
      <c r="G77" s="15"/>
      <c r="H77" s="15"/>
      <c r="I77" s="15"/>
      <c r="J77" s="15"/>
      <c r="K77" s="15"/>
      <c r="L77" s="15"/>
      <c r="M77" s="15"/>
      <c r="N77" s="15"/>
    </row>
    <row r="78" spans="1:14" ht="25.65" x14ac:dyDescent="0.4">
      <c r="A78" s="2"/>
      <c r="B78" s="50" t="s">
        <v>67</v>
      </c>
      <c r="C78" s="18" t="s">
        <v>68</v>
      </c>
      <c r="D78" s="171" t="s">
        <v>1133</v>
      </c>
      <c r="E78" s="18" t="s">
        <v>218</v>
      </c>
      <c r="F78" s="18" t="s">
        <v>71</v>
      </c>
      <c r="G78" s="18" t="s">
        <v>107</v>
      </c>
      <c r="H78" s="13"/>
      <c r="I78" s="13"/>
      <c r="J78" s="13"/>
      <c r="K78" s="13"/>
      <c r="L78" s="13"/>
      <c r="M78" s="13"/>
      <c r="N78" s="13"/>
    </row>
    <row r="79" spans="1:14" ht="25.55" customHeight="1" x14ac:dyDescent="0.4">
      <c r="A79" s="2"/>
      <c r="B79" s="411" t="s">
        <v>1271</v>
      </c>
      <c r="C79" s="207" t="s">
        <v>1570</v>
      </c>
      <c r="D79" s="287">
        <v>1.5</v>
      </c>
      <c r="E79" s="435" t="s">
        <v>1338</v>
      </c>
      <c r="F79" s="435" t="s">
        <v>326</v>
      </c>
      <c r="G79" s="435" t="s">
        <v>220</v>
      </c>
      <c r="H79" s="53"/>
      <c r="I79" s="53"/>
      <c r="J79" s="53"/>
      <c r="K79" s="53"/>
      <c r="L79" s="53"/>
      <c r="M79" s="53"/>
      <c r="N79" s="53"/>
    </row>
    <row r="80" spans="1:14" x14ac:dyDescent="0.4">
      <c r="A80" s="2"/>
      <c r="B80" s="533"/>
      <c r="C80" s="207" t="s">
        <v>987</v>
      </c>
      <c r="D80" s="287"/>
      <c r="E80" s="436"/>
      <c r="F80" s="436"/>
      <c r="G80" s="436"/>
      <c r="H80" s="53"/>
      <c r="I80" s="53"/>
      <c r="J80" s="53"/>
      <c r="K80" s="53"/>
      <c r="L80" s="53"/>
      <c r="M80" s="53"/>
      <c r="N80" s="53"/>
    </row>
    <row r="81" spans="1:14" x14ac:dyDescent="0.4">
      <c r="A81" s="2"/>
      <c r="B81" s="534"/>
      <c r="C81" s="207" t="s">
        <v>74</v>
      </c>
      <c r="D81" s="132"/>
      <c r="E81" s="436"/>
      <c r="F81" s="436"/>
      <c r="G81" s="436"/>
      <c r="H81" s="53"/>
      <c r="I81" s="53"/>
      <c r="J81" s="53"/>
      <c r="K81" s="53"/>
      <c r="L81" s="53"/>
      <c r="M81" s="53"/>
      <c r="N81" s="53"/>
    </row>
    <row r="82" spans="1:14" ht="25.65" x14ac:dyDescent="0.4">
      <c r="A82" s="2"/>
      <c r="B82" s="411" t="s">
        <v>75</v>
      </c>
      <c r="C82" s="207" t="s">
        <v>1570</v>
      </c>
      <c r="D82" s="287" t="s">
        <v>1571</v>
      </c>
      <c r="E82" s="436"/>
      <c r="F82" s="436"/>
      <c r="G82" s="436"/>
      <c r="H82" s="53"/>
      <c r="I82" s="53"/>
      <c r="J82" s="53"/>
      <c r="K82" s="53"/>
      <c r="L82" s="53"/>
      <c r="M82" s="53"/>
      <c r="N82" s="53"/>
    </row>
    <row r="83" spans="1:14" x14ac:dyDescent="0.4">
      <c r="A83" s="2"/>
      <c r="B83" s="533"/>
      <c r="C83" s="207" t="s">
        <v>987</v>
      </c>
      <c r="D83" s="287"/>
      <c r="E83" s="436"/>
      <c r="F83" s="436"/>
      <c r="G83" s="436"/>
      <c r="H83" s="53"/>
      <c r="I83" s="53"/>
      <c r="J83" s="53"/>
      <c r="K83" s="53"/>
      <c r="L83" s="53"/>
      <c r="M83" s="53"/>
      <c r="N83" s="53"/>
    </row>
    <row r="84" spans="1:14" x14ac:dyDescent="0.4">
      <c r="A84" s="2"/>
      <c r="B84" s="534"/>
      <c r="C84" s="207" t="s">
        <v>74</v>
      </c>
      <c r="D84" s="132"/>
      <c r="E84" s="436"/>
      <c r="F84" s="436"/>
      <c r="G84" s="436"/>
      <c r="H84" s="53"/>
      <c r="I84" s="53"/>
      <c r="J84" s="53"/>
      <c r="K84" s="53"/>
      <c r="L84" s="53"/>
      <c r="M84" s="53"/>
      <c r="N84" s="53"/>
    </row>
    <row r="85" spans="1:14" ht="25.65" x14ac:dyDescent="0.4">
      <c r="A85" s="2"/>
      <c r="B85" s="411" t="s">
        <v>76</v>
      </c>
      <c r="C85" s="207" t="s">
        <v>1570</v>
      </c>
      <c r="D85" s="55">
        <v>13.37</v>
      </c>
      <c r="E85" s="436"/>
      <c r="F85" s="436"/>
      <c r="G85" s="436"/>
      <c r="H85" s="53"/>
      <c r="I85" s="53"/>
      <c r="J85" s="53"/>
      <c r="K85" s="53"/>
      <c r="L85" s="53"/>
      <c r="M85" s="53"/>
      <c r="N85" s="53"/>
    </row>
    <row r="86" spans="1:14" x14ac:dyDescent="0.4">
      <c r="A86" s="2"/>
      <c r="B86" s="533"/>
      <c r="C86" s="207" t="s">
        <v>987</v>
      </c>
      <c r="D86" s="287"/>
      <c r="E86" s="436"/>
      <c r="F86" s="436"/>
      <c r="G86" s="436"/>
      <c r="H86" s="53"/>
      <c r="I86" s="53"/>
      <c r="J86" s="53"/>
      <c r="K86" s="53"/>
      <c r="L86" s="53"/>
      <c r="M86" s="53"/>
      <c r="N86" s="53"/>
    </row>
    <row r="87" spans="1:14" x14ac:dyDescent="0.4">
      <c r="A87" s="2"/>
      <c r="B87" s="534"/>
      <c r="C87" s="207" t="s">
        <v>74</v>
      </c>
      <c r="D87" s="132"/>
      <c r="E87" s="436"/>
      <c r="F87" s="436"/>
      <c r="G87" s="436"/>
      <c r="H87" s="53"/>
      <c r="I87" s="53"/>
      <c r="J87" s="53"/>
      <c r="K87" s="53"/>
      <c r="L87" s="53"/>
      <c r="M87" s="53"/>
      <c r="N87" s="53"/>
    </row>
    <row r="88" spans="1:14" ht="25.65" x14ac:dyDescent="0.4">
      <c r="A88" s="2"/>
      <c r="B88" s="603" t="s">
        <v>77</v>
      </c>
      <c r="C88" s="207" t="s">
        <v>1570</v>
      </c>
      <c r="D88" s="287">
        <v>11.19</v>
      </c>
      <c r="E88" s="436"/>
      <c r="F88" s="436"/>
      <c r="G88" s="436"/>
      <c r="H88" s="53"/>
      <c r="I88" s="53"/>
      <c r="J88" s="53"/>
      <c r="K88" s="53"/>
      <c r="L88" s="53"/>
      <c r="M88" s="53"/>
      <c r="N88" s="53"/>
    </row>
    <row r="89" spans="1:14" x14ac:dyDescent="0.4">
      <c r="A89" s="2"/>
      <c r="B89" s="604"/>
      <c r="C89" s="207" t="s">
        <v>987</v>
      </c>
      <c r="D89" s="287"/>
      <c r="E89" s="436"/>
      <c r="F89" s="436"/>
      <c r="G89" s="436"/>
      <c r="H89" s="53"/>
      <c r="I89" s="53"/>
      <c r="J89" s="53"/>
      <c r="K89" s="53"/>
      <c r="L89" s="53"/>
      <c r="M89" s="53"/>
      <c r="N89" s="53"/>
    </row>
    <row r="90" spans="1:14" ht="15.05" customHeight="1" x14ac:dyDescent="0.4">
      <c r="A90" s="2"/>
      <c r="B90" s="604"/>
      <c r="C90" s="3" t="s">
        <v>74</v>
      </c>
      <c r="D90" s="132"/>
      <c r="E90" s="547"/>
      <c r="F90" s="547"/>
      <c r="G90" s="547"/>
      <c r="H90" s="53"/>
      <c r="I90" s="53"/>
      <c r="J90" s="53"/>
      <c r="K90" s="53"/>
      <c r="L90" s="53"/>
      <c r="M90" s="53"/>
      <c r="N90" s="53"/>
    </row>
    <row r="91" spans="1:14" ht="15.8" customHeight="1" x14ac:dyDescent="0.4">
      <c r="A91" s="8"/>
      <c r="B91" s="608" t="s">
        <v>1572</v>
      </c>
      <c r="C91" s="609"/>
      <c r="D91" s="609"/>
      <c r="E91" s="609"/>
      <c r="F91" s="609"/>
      <c r="G91" s="610"/>
      <c r="H91" s="53"/>
      <c r="I91" s="53"/>
      <c r="J91" s="8"/>
      <c r="K91" s="8"/>
      <c r="L91" s="8"/>
      <c r="M91" s="8"/>
      <c r="N91" s="8"/>
    </row>
    <row r="92" spans="1:14" x14ac:dyDescent="0.4">
      <c r="A92" s="9">
        <v>14</v>
      </c>
      <c r="B92" s="418" t="s">
        <v>85</v>
      </c>
      <c r="C92" s="419"/>
      <c r="D92" s="419"/>
      <c r="E92" s="419"/>
      <c r="F92" s="419"/>
      <c r="G92" s="420"/>
      <c r="H92" s="8"/>
      <c r="I92" s="8"/>
      <c r="J92" s="8"/>
      <c r="K92" s="8"/>
      <c r="L92" s="8"/>
      <c r="M92" s="8"/>
      <c r="N92" s="8"/>
    </row>
    <row r="93" spans="1:14" x14ac:dyDescent="0.4">
      <c r="A93" s="23"/>
      <c r="B93" s="61" t="s">
        <v>78</v>
      </c>
      <c r="C93" s="497" t="s">
        <v>41</v>
      </c>
      <c r="D93" s="497"/>
      <c r="E93" s="497"/>
      <c r="F93" s="497"/>
      <c r="G93" s="497"/>
      <c r="H93" s="8"/>
      <c r="I93" s="8"/>
      <c r="J93" s="8"/>
      <c r="K93" s="8"/>
      <c r="L93" s="8"/>
      <c r="M93" s="8"/>
      <c r="N93" s="8"/>
    </row>
    <row r="94" spans="1:14" x14ac:dyDescent="0.4">
      <c r="A94" s="8"/>
      <c r="B94" s="8"/>
      <c r="C94" s="10"/>
      <c r="D94" s="208"/>
      <c r="E94" s="200"/>
      <c r="F94" s="200"/>
      <c r="G94" s="200"/>
      <c r="H94" s="8"/>
      <c r="I94" s="8"/>
      <c r="J94" s="8"/>
      <c r="K94" s="8"/>
      <c r="L94" s="8"/>
      <c r="M94" s="8"/>
      <c r="N94" s="8"/>
    </row>
    <row r="95" spans="1:14" x14ac:dyDescent="0.4">
      <c r="B95" s="538" t="s">
        <v>1573</v>
      </c>
      <c r="C95" s="538"/>
      <c r="D95" s="538"/>
      <c r="E95" s="538"/>
      <c r="F95" s="538"/>
      <c r="G95" s="538"/>
    </row>
    <row r="96" spans="1:14" x14ac:dyDescent="0.4">
      <c r="C96" s="200"/>
    </row>
    <row r="97" spans="2:7" x14ac:dyDescent="0.4">
      <c r="B97" s="497" t="s">
        <v>1490</v>
      </c>
      <c r="C97" s="497"/>
      <c r="D97" s="497"/>
      <c r="E97" s="497"/>
      <c r="F97" s="497"/>
      <c r="G97" s="497"/>
    </row>
    <row r="98" spans="2:7" x14ac:dyDescent="0.4">
      <c r="C98" s="238"/>
    </row>
    <row r="99" spans="2:7" x14ac:dyDescent="0.4">
      <c r="C99" s="228"/>
      <c r="D99" s="228"/>
    </row>
    <row r="100" spans="2:7" x14ac:dyDescent="0.4">
      <c r="C100" s="228"/>
    </row>
  </sheetData>
  <sheetProtection algorithmName="SHA-512" hashValue="n33GG3LNQfMCYYQ2AP67hinCx1BvwG5iLRoDDCIefR0pdU0TpqZ44Nw16SME3bV0/rXz6KmJuDOlh2V3hKZ61A==" saltValue="pJfX/3Lxl2Psip8EQlHhbA==" spinCount="100000" sheet="1" objects="1" scenarios="1"/>
  <mergeCells count="69">
    <mergeCell ref="B91:G91"/>
    <mergeCell ref="B92:G92"/>
    <mergeCell ref="C93:G93"/>
    <mergeCell ref="B95:G95"/>
    <mergeCell ref="B97:G97"/>
    <mergeCell ref="B73:N73"/>
    <mergeCell ref="B74:N74"/>
    <mergeCell ref="B76:G76"/>
    <mergeCell ref="B79:B81"/>
    <mergeCell ref="E79:E90"/>
    <mergeCell ref="F79:F90"/>
    <mergeCell ref="G79:G90"/>
    <mergeCell ref="B82:B84"/>
    <mergeCell ref="B85:B87"/>
    <mergeCell ref="B88:B90"/>
    <mergeCell ref="B72:N72"/>
    <mergeCell ref="B64:B65"/>
    <mergeCell ref="C64:C65"/>
    <mergeCell ref="D64:D65"/>
    <mergeCell ref="E64:E65"/>
    <mergeCell ref="F64:H64"/>
    <mergeCell ref="I64:K64"/>
    <mergeCell ref="L64:N64"/>
    <mergeCell ref="C68:N68"/>
    <mergeCell ref="B69:N69"/>
    <mergeCell ref="B70:N70"/>
    <mergeCell ref="B71:N71"/>
    <mergeCell ref="C62:E62"/>
    <mergeCell ref="B43:E43"/>
    <mergeCell ref="B45:E45"/>
    <mergeCell ref="B48:E48"/>
    <mergeCell ref="B50:E50"/>
    <mergeCell ref="B51:B52"/>
    <mergeCell ref="C51:E52"/>
    <mergeCell ref="C53:E53"/>
    <mergeCell ref="C54:E54"/>
    <mergeCell ref="B55:E55"/>
    <mergeCell ref="B56:E56"/>
    <mergeCell ref="C58:E58"/>
    <mergeCell ref="C42:E42"/>
    <mergeCell ref="C27:C30"/>
    <mergeCell ref="D27:D30"/>
    <mergeCell ref="E27:E30"/>
    <mergeCell ref="B31:E31"/>
    <mergeCell ref="B33:E33"/>
    <mergeCell ref="C34:E34"/>
    <mergeCell ref="C35:E35"/>
    <mergeCell ref="C36:E36"/>
    <mergeCell ref="B39:E39"/>
    <mergeCell ref="C40:E40"/>
    <mergeCell ref="C41:E41"/>
    <mergeCell ref="B25:E25"/>
    <mergeCell ref="C11:E11"/>
    <mergeCell ref="B12:E12"/>
    <mergeCell ref="C14:E14"/>
    <mergeCell ref="B15:E15"/>
    <mergeCell ref="B17:E17"/>
    <mergeCell ref="C18:E18"/>
    <mergeCell ref="C19:E19"/>
    <mergeCell ref="C20:E20"/>
    <mergeCell ref="C21:E21"/>
    <mergeCell ref="C22:E22"/>
    <mergeCell ref="B24:E24"/>
    <mergeCell ref="B9:E9"/>
    <mergeCell ref="A1:B1"/>
    <mergeCell ref="C3:E3"/>
    <mergeCell ref="C5:E5"/>
    <mergeCell ref="B6:E6"/>
    <mergeCell ref="C8:E8"/>
  </mergeCells>
  <pageMargins left="0.7" right="0.7" top="0.75" bottom="0.75" header="0.3" footer="0.3"/>
  <pageSetup paperSize="8" orientation="landscape" verticalDpi="0"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B7FD-373E-4171-92F0-5F5163BBBF5D}">
  <dimension ref="A1:N100"/>
  <sheetViews>
    <sheetView view="pageBreakPreview" topLeftCell="A64" zoomScale="60" zoomScaleNormal="100" zoomScalePageLayoutView="50" workbookViewId="0">
      <selection activeCell="I48" sqref="I48"/>
    </sheetView>
  </sheetViews>
  <sheetFormatPr defaultRowHeight="14.6" x14ac:dyDescent="0.4"/>
  <cols>
    <col min="1" max="1" width="6.4609375" bestFit="1" customWidth="1"/>
    <col min="2" max="2" width="46" bestFit="1" customWidth="1"/>
    <col min="3" max="3" width="22.69140625" customWidth="1"/>
    <col min="4" max="4" width="18.07421875" customWidth="1"/>
    <col min="5" max="5" width="18.69140625" customWidth="1"/>
    <col min="6" max="6" width="9.3046875" bestFit="1" customWidth="1"/>
    <col min="8" max="8" width="10" bestFit="1" customWidth="1"/>
    <col min="9" max="9" width="10.4609375" bestFit="1" customWidth="1"/>
    <col min="10" max="10" width="9.07421875" bestFit="1" customWidth="1"/>
    <col min="11" max="11" width="6.84375" bestFit="1" customWidth="1"/>
    <col min="12" max="12" width="7.07421875" bestFit="1" customWidth="1"/>
    <col min="13" max="14" width="6.84375" bestFit="1" customWidth="1"/>
  </cols>
  <sheetData>
    <row r="1" spans="1:14" x14ac:dyDescent="0.4">
      <c r="A1" s="355" t="s">
        <v>0</v>
      </c>
      <c r="B1" s="355"/>
      <c r="C1" s="8"/>
      <c r="D1" s="166"/>
      <c r="E1" s="8"/>
      <c r="F1" s="8"/>
      <c r="G1" s="8"/>
      <c r="H1" s="8"/>
      <c r="I1" s="8"/>
      <c r="J1" s="8"/>
      <c r="K1" s="8"/>
      <c r="L1" s="8"/>
      <c r="M1" s="8"/>
      <c r="N1" s="8"/>
    </row>
    <row r="2" spans="1:14" x14ac:dyDescent="0.4">
      <c r="A2" s="8"/>
      <c r="B2" s="8"/>
      <c r="C2" s="8"/>
      <c r="D2" s="167"/>
      <c r="E2" s="8"/>
      <c r="F2" s="8"/>
      <c r="G2" s="8"/>
      <c r="H2" s="8"/>
      <c r="I2" s="8"/>
      <c r="J2" s="8"/>
      <c r="K2" s="8"/>
      <c r="L2" s="8"/>
      <c r="M2" s="8"/>
      <c r="N2" s="8"/>
    </row>
    <row r="3" spans="1:14" ht="16.45" customHeight="1" x14ac:dyDescent="0.4">
      <c r="A3" s="2" t="s">
        <v>1</v>
      </c>
      <c r="B3" s="3" t="s">
        <v>2</v>
      </c>
      <c r="C3" s="497" t="s">
        <v>1588</v>
      </c>
      <c r="D3" s="497"/>
      <c r="E3" s="497"/>
      <c r="F3" s="8"/>
      <c r="H3" s="8"/>
      <c r="I3" s="8"/>
      <c r="J3" s="8"/>
      <c r="K3" s="8"/>
      <c r="L3" s="8"/>
      <c r="M3" s="8"/>
      <c r="N3" s="8"/>
    </row>
    <row r="4" spans="1:14" x14ac:dyDescent="0.4">
      <c r="A4" s="8"/>
      <c r="B4" s="8"/>
      <c r="C4" s="8"/>
      <c r="D4" s="168"/>
      <c r="E4" s="8"/>
      <c r="F4" s="8"/>
      <c r="G4" s="8"/>
      <c r="H4" s="8"/>
      <c r="I4" s="8"/>
      <c r="J4" s="8"/>
      <c r="K4" s="8"/>
      <c r="L4" s="8"/>
      <c r="M4" s="8"/>
      <c r="N4" s="8"/>
    </row>
    <row r="5" spans="1:14" x14ac:dyDescent="0.4">
      <c r="A5" s="36">
        <v>1</v>
      </c>
      <c r="B5" s="3" t="s">
        <v>3</v>
      </c>
      <c r="C5" s="458" t="s">
        <v>1589</v>
      </c>
      <c r="D5" s="458"/>
      <c r="E5" s="458"/>
      <c r="F5" s="8"/>
      <c r="G5" s="8"/>
      <c r="H5" s="8"/>
      <c r="I5" s="8"/>
      <c r="J5" s="8"/>
      <c r="K5" s="8"/>
      <c r="L5" s="8"/>
      <c r="M5" s="8"/>
      <c r="N5" s="8"/>
    </row>
    <row r="6" spans="1:14" x14ac:dyDescent="0.4">
      <c r="A6" s="9"/>
      <c r="B6" s="480" t="s">
        <v>5</v>
      </c>
      <c r="C6" s="480"/>
      <c r="D6" s="480"/>
      <c r="E6" s="480"/>
      <c r="F6" s="8"/>
      <c r="G6" s="8"/>
      <c r="H6" s="8"/>
      <c r="I6" s="8"/>
      <c r="J6" s="8"/>
      <c r="K6" s="8"/>
      <c r="L6" s="8"/>
      <c r="M6" s="8"/>
      <c r="N6" s="8"/>
    </row>
    <row r="7" spans="1:14" x14ac:dyDescent="0.4">
      <c r="A7" s="9"/>
      <c r="B7" s="11"/>
      <c r="C7" s="8"/>
      <c r="D7" s="168"/>
      <c r="E7" s="8"/>
      <c r="F7" s="8"/>
      <c r="G7" s="8"/>
      <c r="H7" s="8"/>
      <c r="I7" s="8"/>
      <c r="J7" s="8"/>
      <c r="K7" s="8"/>
      <c r="L7" s="8"/>
      <c r="M7" s="8"/>
      <c r="N7" s="8"/>
    </row>
    <row r="8" spans="1:14" x14ac:dyDescent="0.4">
      <c r="A8" s="9">
        <v>2</v>
      </c>
      <c r="B8" s="3" t="s">
        <v>6</v>
      </c>
      <c r="C8" s="497" t="s">
        <v>1590</v>
      </c>
      <c r="D8" s="497"/>
      <c r="E8" s="497"/>
      <c r="F8" s="8"/>
      <c r="G8" s="8"/>
      <c r="H8" s="8"/>
      <c r="I8" s="8"/>
      <c r="J8" s="8"/>
      <c r="K8" s="8"/>
      <c r="L8" s="8"/>
      <c r="M8" s="8"/>
      <c r="N8" s="8"/>
    </row>
    <row r="9" spans="1:14" x14ac:dyDescent="0.4">
      <c r="A9" s="9"/>
      <c r="B9" s="480" t="s">
        <v>5</v>
      </c>
      <c r="C9" s="480"/>
      <c r="D9" s="480"/>
      <c r="E9" s="480"/>
      <c r="F9" s="8"/>
      <c r="G9" s="8"/>
      <c r="H9" s="8"/>
      <c r="I9" s="8"/>
      <c r="J9" s="8"/>
      <c r="K9" s="8"/>
      <c r="L9" s="8"/>
      <c r="M9" s="8"/>
      <c r="N9" s="8"/>
    </row>
    <row r="10" spans="1:14" x14ac:dyDescent="0.4">
      <c r="A10" s="9"/>
      <c r="B10" s="11"/>
      <c r="C10" s="8"/>
      <c r="D10" s="168"/>
      <c r="E10" s="8"/>
      <c r="F10" s="8"/>
      <c r="G10" s="8"/>
      <c r="H10" s="8"/>
      <c r="I10" s="8"/>
      <c r="J10" s="8"/>
      <c r="K10" s="8"/>
      <c r="L10" s="8"/>
      <c r="M10" s="8"/>
      <c r="N10" s="8"/>
    </row>
    <row r="11" spans="1:14" ht="27.05" customHeight="1" x14ac:dyDescent="0.4">
      <c r="A11" s="9">
        <v>3</v>
      </c>
      <c r="B11" s="3" t="s">
        <v>7</v>
      </c>
      <c r="C11" s="458" t="s">
        <v>1109</v>
      </c>
      <c r="D11" s="458"/>
      <c r="E11" s="458"/>
      <c r="F11" s="8"/>
      <c r="G11" s="8"/>
      <c r="H11" s="8"/>
      <c r="I11" s="8"/>
      <c r="J11" s="8"/>
      <c r="K11" s="8"/>
      <c r="L11" s="8"/>
      <c r="M11" s="8"/>
      <c r="N11" s="8"/>
    </row>
    <row r="12" spans="1:14" x14ac:dyDescent="0.4">
      <c r="A12" s="9"/>
      <c r="B12" s="480" t="s">
        <v>5</v>
      </c>
      <c r="C12" s="480"/>
      <c r="D12" s="480"/>
      <c r="E12" s="480"/>
      <c r="F12" s="8"/>
      <c r="G12" s="8"/>
      <c r="H12" s="8"/>
      <c r="I12" s="8"/>
      <c r="J12" s="8"/>
      <c r="K12" s="8"/>
      <c r="L12" s="8"/>
      <c r="M12" s="8"/>
      <c r="N12" s="8"/>
    </row>
    <row r="13" spans="1:14" x14ac:dyDescent="0.4">
      <c r="A13" s="9"/>
      <c r="B13" s="11"/>
      <c r="C13" s="8"/>
      <c r="D13" s="168"/>
      <c r="E13" s="8"/>
      <c r="F13" s="8"/>
      <c r="G13" s="8"/>
      <c r="H13" s="8"/>
      <c r="I13" s="8"/>
      <c r="J13" s="8"/>
      <c r="K13" s="8"/>
      <c r="L13" s="8"/>
      <c r="M13" s="8"/>
      <c r="N13" s="8"/>
    </row>
    <row r="14" spans="1:14" x14ac:dyDescent="0.4">
      <c r="A14" s="9">
        <v>4</v>
      </c>
      <c r="B14" s="3" t="s">
        <v>9</v>
      </c>
      <c r="C14" s="497" t="s">
        <v>1591</v>
      </c>
      <c r="D14" s="497"/>
      <c r="E14" s="497"/>
      <c r="F14" s="351"/>
      <c r="G14" s="8"/>
      <c r="H14" s="8"/>
      <c r="I14" s="8"/>
      <c r="J14" s="8"/>
      <c r="K14" s="8"/>
      <c r="L14" s="8"/>
      <c r="M14" s="8"/>
      <c r="N14" s="8"/>
    </row>
    <row r="15" spans="1:14" x14ac:dyDescent="0.4">
      <c r="A15" s="9"/>
      <c r="B15" s="480" t="s">
        <v>10</v>
      </c>
      <c r="C15" s="480"/>
      <c r="D15" s="480"/>
      <c r="E15" s="480"/>
      <c r="F15" s="351"/>
      <c r="G15" s="8"/>
      <c r="H15" s="8"/>
      <c r="I15" s="8"/>
      <c r="J15" s="8"/>
      <c r="K15" s="8"/>
      <c r="L15" s="8"/>
      <c r="M15" s="8"/>
      <c r="N15" s="8"/>
    </row>
    <row r="16" spans="1:14" x14ac:dyDescent="0.4">
      <c r="A16" s="9"/>
      <c r="B16" s="8"/>
      <c r="C16" s="8"/>
      <c r="D16" s="168"/>
      <c r="E16" s="8"/>
      <c r="F16" s="8"/>
      <c r="G16" s="8"/>
      <c r="H16" s="8"/>
      <c r="I16" s="8"/>
      <c r="J16" s="8"/>
      <c r="K16" s="8"/>
      <c r="L16" s="8"/>
      <c r="M16" s="8"/>
      <c r="N16" s="8"/>
    </row>
    <row r="17" spans="1:14" ht="30.7" customHeight="1" x14ac:dyDescent="0.4">
      <c r="A17" s="9">
        <v>5</v>
      </c>
      <c r="B17" s="365" t="s">
        <v>1082</v>
      </c>
      <c r="C17" s="366"/>
      <c r="D17" s="366"/>
      <c r="E17" s="366"/>
      <c r="F17" s="11"/>
      <c r="G17" s="11"/>
      <c r="H17" s="11"/>
      <c r="I17" s="11"/>
      <c r="J17" s="13"/>
      <c r="K17" s="13"/>
      <c r="L17" s="13"/>
      <c r="M17" s="13"/>
      <c r="N17" s="13"/>
    </row>
    <row r="18" spans="1:14" x14ac:dyDescent="0.4">
      <c r="A18" s="9"/>
      <c r="B18" s="3" t="s">
        <v>12</v>
      </c>
      <c r="C18" s="665">
        <v>0.1258</v>
      </c>
      <c r="D18" s="497"/>
      <c r="E18" s="497"/>
      <c r="F18" s="351"/>
      <c r="G18" s="13"/>
      <c r="H18" s="13"/>
      <c r="I18" s="13"/>
      <c r="J18" s="13"/>
      <c r="K18" s="13"/>
      <c r="L18" s="13"/>
      <c r="M18" s="13"/>
      <c r="N18" s="13"/>
    </row>
    <row r="19" spans="1:14" ht="25.65" x14ac:dyDescent="0.4">
      <c r="A19" s="9"/>
      <c r="B19" s="14" t="s">
        <v>1494</v>
      </c>
      <c r="C19" s="447" t="s">
        <v>1592</v>
      </c>
      <c r="D19" s="447"/>
      <c r="E19" s="447"/>
      <c r="F19" s="15"/>
      <c r="G19" s="13" t="s">
        <v>693</v>
      </c>
      <c r="H19" s="8"/>
      <c r="I19" s="13"/>
      <c r="J19" s="13"/>
      <c r="K19" s="13"/>
      <c r="L19" s="13"/>
      <c r="M19" s="13"/>
      <c r="N19" s="13"/>
    </row>
    <row r="20" spans="1:14" x14ac:dyDescent="0.4">
      <c r="A20" s="9"/>
      <c r="B20" s="14" t="s">
        <v>605</v>
      </c>
      <c r="C20" s="447" t="s">
        <v>319</v>
      </c>
      <c r="D20" s="447"/>
      <c r="E20" s="447"/>
      <c r="F20" s="15"/>
      <c r="G20" s="13"/>
      <c r="H20" s="13"/>
      <c r="I20" s="13"/>
      <c r="J20" s="13"/>
      <c r="K20" s="13"/>
      <c r="L20" s="13"/>
      <c r="M20" s="13"/>
      <c r="N20" s="13"/>
    </row>
    <row r="21" spans="1:14" x14ac:dyDescent="0.4">
      <c r="A21" s="9"/>
      <c r="B21" s="16" t="s">
        <v>15</v>
      </c>
      <c r="C21" s="447" t="s">
        <v>320</v>
      </c>
      <c r="D21" s="447"/>
      <c r="E21" s="447"/>
      <c r="F21" s="15"/>
      <c r="G21" s="13"/>
      <c r="H21" s="13"/>
      <c r="I21" s="13"/>
      <c r="J21" s="13"/>
      <c r="K21" s="13"/>
      <c r="L21" s="13"/>
      <c r="M21" s="13"/>
      <c r="N21" s="13"/>
    </row>
    <row r="22" spans="1:14" x14ac:dyDescent="0.4">
      <c r="A22" s="9"/>
      <c r="B22" s="17" t="s">
        <v>16</v>
      </c>
      <c r="C22" s="446" t="s">
        <v>201</v>
      </c>
      <c r="D22" s="446"/>
      <c r="E22" s="446"/>
      <c r="F22" s="15"/>
      <c r="G22" s="13"/>
      <c r="H22" s="13"/>
      <c r="I22" s="13"/>
      <c r="J22" s="13"/>
      <c r="K22" s="13"/>
      <c r="L22" s="13"/>
      <c r="M22" s="13"/>
      <c r="N22" s="13"/>
    </row>
    <row r="23" spans="1:14" x14ac:dyDescent="0.4">
      <c r="A23" s="9"/>
      <c r="B23" s="15"/>
      <c r="C23" s="15"/>
      <c r="D23" s="170"/>
      <c r="E23" s="15"/>
      <c r="F23" s="15"/>
      <c r="G23" s="13"/>
      <c r="H23" s="13"/>
      <c r="I23" s="13"/>
      <c r="J23" s="13"/>
      <c r="K23" s="13"/>
      <c r="L23" s="13"/>
      <c r="M23" s="13"/>
      <c r="N23" s="13"/>
    </row>
    <row r="24" spans="1:14" x14ac:dyDescent="0.4">
      <c r="A24" s="9">
        <v>6</v>
      </c>
      <c r="B24" s="365" t="s">
        <v>1086</v>
      </c>
      <c r="C24" s="365"/>
      <c r="D24" s="365"/>
      <c r="E24" s="365"/>
      <c r="F24" s="11"/>
      <c r="G24" s="11"/>
      <c r="H24" s="13"/>
      <c r="I24" s="11"/>
      <c r="J24" s="11"/>
      <c r="K24" s="8"/>
      <c r="L24" s="8"/>
      <c r="M24" s="8"/>
      <c r="N24" s="8"/>
    </row>
    <row r="25" spans="1:14" x14ac:dyDescent="0.4">
      <c r="A25" s="9"/>
      <c r="B25" s="370" t="s">
        <v>19</v>
      </c>
      <c r="C25" s="371"/>
      <c r="D25" s="371"/>
      <c r="E25" s="372"/>
      <c r="F25" s="15"/>
      <c r="G25" s="8"/>
      <c r="H25" s="8"/>
      <c r="I25" s="8"/>
      <c r="J25" s="8"/>
      <c r="K25" s="8"/>
      <c r="L25" s="8"/>
      <c r="M25" s="8"/>
      <c r="N25" s="8"/>
    </row>
    <row r="26" spans="1:14" x14ac:dyDescent="0.4">
      <c r="A26" s="9"/>
      <c r="B26" s="17" t="s">
        <v>20</v>
      </c>
      <c r="C26" s="18" t="s">
        <v>262</v>
      </c>
      <c r="D26" s="171" t="s">
        <v>263</v>
      </c>
      <c r="E26" s="18" t="s">
        <v>23</v>
      </c>
      <c r="F26" s="15"/>
      <c r="G26" s="8"/>
      <c r="H26" s="8"/>
      <c r="I26" s="8"/>
      <c r="J26" s="8"/>
      <c r="K26" s="8"/>
      <c r="L26" s="8"/>
      <c r="M26" s="8"/>
      <c r="N26" s="8"/>
    </row>
    <row r="27" spans="1:14" ht="15.05" customHeight="1" x14ac:dyDescent="0.4">
      <c r="A27" s="9"/>
      <c r="B27" s="19" t="s">
        <v>1272</v>
      </c>
      <c r="C27" s="592" t="s">
        <v>1481</v>
      </c>
      <c r="D27" s="592" t="s">
        <v>264</v>
      </c>
      <c r="E27" s="540" t="s">
        <v>203</v>
      </c>
      <c r="F27" s="15"/>
      <c r="G27" s="8"/>
      <c r="H27" s="8"/>
      <c r="I27" s="8"/>
      <c r="J27" s="8"/>
      <c r="K27" s="8"/>
      <c r="L27" s="8"/>
      <c r="M27" s="8"/>
      <c r="N27" s="8"/>
    </row>
    <row r="28" spans="1:14" x14ac:dyDescent="0.4">
      <c r="A28" s="9"/>
      <c r="B28" s="19" t="s">
        <v>25</v>
      </c>
      <c r="C28" s="593"/>
      <c r="D28" s="593"/>
      <c r="E28" s="541"/>
      <c r="F28" s="15"/>
      <c r="G28" s="8"/>
      <c r="H28" s="8"/>
      <c r="I28" s="8"/>
      <c r="J28" s="8"/>
      <c r="K28" s="8"/>
      <c r="L28" s="8"/>
      <c r="M28" s="8"/>
      <c r="N28" s="8"/>
    </row>
    <row r="29" spans="1:14" x14ac:dyDescent="0.4">
      <c r="A29" s="9"/>
      <c r="B29" s="19" t="s">
        <v>26</v>
      </c>
      <c r="C29" s="593"/>
      <c r="D29" s="593"/>
      <c r="E29" s="541"/>
      <c r="F29" s="15"/>
      <c r="G29" s="8"/>
      <c r="H29" s="8"/>
      <c r="I29" s="8"/>
      <c r="J29" s="8"/>
      <c r="K29" s="8"/>
      <c r="L29" s="8"/>
      <c r="M29" s="8"/>
      <c r="N29" s="8"/>
    </row>
    <row r="30" spans="1:14" x14ac:dyDescent="0.4">
      <c r="A30" s="9"/>
      <c r="B30" s="19" t="s">
        <v>27</v>
      </c>
      <c r="C30" s="594"/>
      <c r="D30" s="594"/>
      <c r="E30" s="542"/>
      <c r="F30" s="15"/>
      <c r="G30" s="8"/>
      <c r="H30" s="8"/>
      <c r="I30" s="8"/>
      <c r="J30" s="8"/>
      <c r="K30" s="8"/>
      <c r="L30" s="8"/>
      <c r="M30" s="8"/>
      <c r="N30" s="8"/>
    </row>
    <row r="31" spans="1:14" x14ac:dyDescent="0.4">
      <c r="A31" s="9"/>
      <c r="B31" s="363" t="s">
        <v>1593</v>
      </c>
      <c r="C31" s="368"/>
      <c r="D31" s="368"/>
      <c r="E31" s="369"/>
      <c r="F31" s="15"/>
      <c r="G31" s="8"/>
      <c r="H31" s="8"/>
      <c r="I31" s="8"/>
      <c r="J31" s="8"/>
      <c r="K31" s="8"/>
      <c r="L31" s="8"/>
      <c r="M31" s="8"/>
      <c r="N31" s="8"/>
    </row>
    <row r="32" spans="1:14" x14ac:dyDescent="0.4">
      <c r="A32" s="9"/>
      <c r="B32" s="13"/>
      <c r="C32" s="15"/>
      <c r="D32" s="170"/>
      <c r="E32" s="15"/>
      <c r="F32" s="15"/>
      <c r="G32" s="8"/>
      <c r="H32" s="8"/>
      <c r="I32" s="8"/>
      <c r="J32" s="8"/>
      <c r="K32" s="8"/>
      <c r="L32" s="8"/>
      <c r="M32" s="8"/>
      <c r="N32" s="8"/>
    </row>
    <row r="33" spans="1:14" x14ac:dyDescent="0.4">
      <c r="A33" s="9">
        <v>7</v>
      </c>
      <c r="B33" s="365" t="s">
        <v>28</v>
      </c>
      <c r="C33" s="365"/>
      <c r="D33" s="365"/>
      <c r="E33" s="365"/>
      <c r="F33" s="11"/>
      <c r="G33" s="11"/>
      <c r="H33" s="11"/>
      <c r="I33" s="11"/>
      <c r="J33" s="11"/>
      <c r="K33" s="8"/>
      <c r="L33" s="8"/>
      <c r="M33" s="8"/>
      <c r="N33" s="8"/>
    </row>
    <row r="34" spans="1:14" x14ac:dyDescent="0.4">
      <c r="A34" s="9"/>
      <c r="B34" s="17" t="s">
        <v>29</v>
      </c>
      <c r="C34" s="446" t="s">
        <v>319</v>
      </c>
      <c r="D34" s="446"/>
      <c r="E34" s="446"/>
      <c r="F34" s="13"/>
      <c r="G34" s="8"/>
      <c r="H34" s="8"/>
      <c r="I34" s="8"/>
      <c r="J34" s="8"/>
      <c r="K34" s="8"/>
      <c r="L34" s="8"/>
      <c r="M34" s="8"/>
      <c r="N34" s="8"/>
    </row>
    <row r="35" spans="1:14" x14ac:dyDescent="0.4">
      <c r="A35" s="9"/>
      <c r="B35" s="17" t="s">
        <v>31</v>
      </c>
      <c r="C35" s="446" t="s">
        <v>320</v>
      </c>
      <c r="D35" s="446"/>
      <c r="E35" s="446"/>
      <c r="F35" s="13"/>
      <c r="G35" s="8"/>
      <c r="H35" s="8"/>
      <c r="I35" s="8"/>
      <c r="J35" s="8"/>
      <c r="K35" s="8"/>
      <c r="L35" s="8"/>
      <c r="M35" s="8"/>
      <c r="N35" s="8"/>
    </row>
    <row r="36" spans="1:14" x14ac:dyDescent="0.4">
      <c r="A36" s="9"/>
      <c r="B36" s="17" t="s">
        <v>32</v>
      </c>
      <c r="C36" s="446" t="s">
        <v>201</v>
      </c>
      <c r="D36" s="446"/>
      <c r="E36" s="446"/>
      <c r="F36" s="13"/>
      <c r="G36" s="8"/>
      <c r="H36" s="8"/>
      <c r="I36" s="8"/>
      <c r="J36" s="8"/>
      <c r="K36" s="8"/>
      <c r="L36" s="8"/>
      <c r="M36" s="8"/>
      <c r="N36" s="8"/>
    </row>
    <row r="37" spans="1:14" x14ac:dyDescent="0.4">
      <c r="A37" s="9"/>
      <c r="B37" s="8"/>
      <c r="C37" s="13"/>
      <c r="D37" s="169"/>
      <c r="E37" s="13"/>
      <c r="F37" s="13"/>
      <c r="G37" s="8"/>
      <c r="H37" s="8"/>
      <c r="I37" s="8"/>
      <c r="J37" s="8"/>
      <c r="K37" s="8"/>
      <c r="L37" s="8"/>
      <c r="M37" s="8"/>
      <c r="N37" s="8"/>
    </row>
    <row r="38" spans="1:14" x14ac:dyDescent="0.4">
      <c r="A38" s="9">
        <v>8</v>
      </c>
      <c r="B38" s="365" t="s">
        <v>1084</v>
      </c>
      <c r="C38" s="365"/>
      <c r="D38" s="365"/>
      <c r="E38" s="365"/>
      <c r="F38" s="11"/>
      <c r="G38" s="11"/>
      <c r="H38" s="11"/>
      <c r="I38" s="11"/>
      <c r="J38" s="11"/>
      <c r="K38" s="8"/>
      <c r="L38" s="8"/>
      <c r="M38" s="8"/>
      <c r="N38" s="8"/>
    </row>
    <row r="39" spans="1:14" ht="15.05" customHeight="1" x14ac:dyDescent="0.4">
      <c r="A39" s="9"/>
      <c r="B39" s="17" t="s">
        <v>34</v>
      </c>
      <c r="C39" s="446" t="s">
        <v>319</v>
      </c>
      <c r="D39" s="446"/>
      <c r="E39" s="446"/>
      <c r="F39" s="13"/>
      <c r="G39" s="8"/>
      <c r="H39" s="8"/>
      <c r="I39" s="8"/>
      <c r="J39" s="8"/>
      <c r="K39" s="8"/>
      <c r="L39" s="8"/>
      <c r="M39" s="8"/>
      <c r="N39" s="8"/>
    </row>
    <row r="40" spans="1:14" ht="14.35" customHeight="1" x14ac:dyDescent="0.4">
      <c r="A40" s="9"/>
      <c r="B40" s="17" t="s">
        <v>31</v>
      </c>
      <c r="C40" s="446" t="s">
        <v>320</v>
      </c>
      <c r="D40" s="446"/>
      <c r="E40" s="446"/>
      <c r="F40" s="13"/>
      <c r="G40" s="8"/>
      <c r="H40" s="8"/>
      <c r="I40" s="8"/>
      <c r="J40" s="8"/>
      <c r="K40" s="8"/>
      <c r="L40" s="8"/>
      <c r="M40" s="8"/>
      <c r="N40" s="8"/>
    </row>
    <row r="41" spans="1:14" ht="14.35" customHeight="1" x14ac:dyDescent="0.4">
      <c r="A41" s="9"/>
      <c r="B41" s="17" t="s">
        <v>32</v>
      </c>
      <c r="C41" s="446" t="s">
        <v>201</v>
      </c>
      <c r="D41" s="446"/>
      <c r="E41" s="446"/>
      <c r="F41" s="13"/>
      <c r="G41" s="8"/>
      <c r="H41" s="8"/>
      <c r="I41" s="8"/>
      <c r="J41" s="8"/>
      <c r="K41" s="8"/>
      <c r="L41" s="8"/>
      <c r="M41" s="8"/>
      <c r="N41" s="8"/>
    </row>
    <row r="42" spans="1:14" x14ac:dyDescent="0.4">
      <c r="A42" s="9"/>
      <c r="B42" s="363" t="s">
        <v>848</v>
      </c>
      <c r="C42" s="368"/>
      <c r="D42" s="368"/>
      <c r="E42" s="369"/>
      <c r="F42" s="13"/>
      <c r="G42" s="8"/>
      <c r="H42" s="8"/>
      <c r="I42" s="8"/>
      <c r="J42" s="8"/>
      <c r="K42" s="8"/>
      <c r="L42" s="8"/>
      <c r="M42" s="8"/>
      <c r="N42" s="8"/>
    </row>
    <row r="43" spans="1:14" x14ac:dyDescent="0.4">
      <c r="A43" s="2"/>
      <c r="B43" s="8"/>
      <c r="C43" s="8"/>
      <c r="D43" s="173"/>
      <c r="E43" s="13"/>
      <c r="F43" s="8"/>
      <c r="G43" s="8"/>
      <c r="H43" s="8"/>
      <c r="I43" s="8"/>
      <c r="J43" s="8"/>
      <c r="K43" s="8"/>
      <c r="L43" s="8"/>
      <c r="M43" s="8"/>
      <c r="N43" s="8"/>
    </row>
    <row r="44" spans="1:14" x14ac:dyDescent="0.4">
      <c r="A44" s="24">
        <v>9</v>
      </c>
      <c r="B44" s="376" t="s">
        <v>1085</v>
      </c>
      <c r="C44" s="365"/>
      <c r="D44" s="365"/>
      <c r="E44" s="365"/>
      <c r="F44" s="25"/>
      <c r="G44" s="11"/>
      <c r="H44" s="11"/>
      <c r="I44" s="11"/>
      <c r="J44" s="8"/>
      <c r="K44" s="8"/>
      <c r="L44" s="8"/>
      <c r="M44" s="8"/>
      <c r="N44" s="8"/>
    </row>
    <row r="45" spans="1:14" ht="38.450000000000003" x14ac:dyDescent="0.4">
      <c r="A45" s="24"/>
      <c r="B45" s="26" t="s">
        <v>37</v>
      </c>
      <c r="C45" s="27" t="s">
        <v>38</v>
      </c>
      <c r="D45" s="174" t="s">
        <v>39</v>
      </c>
      <c r="E45" s="27" t="s">
        <v>206</v>
      </c>
      <c r="F45" s="8"/>
      <c r="G45" s="8"/>
      <c r="H45" s="8"/>
      <c r="I45" s="8"/>
      <c r="J45" s="8"/>
      <c r="K45" s="8"/>
      <c r="L45" s="8"/>
      <c r="M45" s="8"/>
      <c r="N45" s="8"/>
    </row>
    <row r="46" spans="1:14" ht="160.35" x14ac:dyDescent="0.4">
      <c r="A46" s="29"/>
      <c r="B46" s="352" t="s">
        <v>1594</v>
      </c>
      <c r="C46" s="352" t="s">
        <v>1595</v>
      </c>
      <c r="D46" s="78" t="s">
        <v>1596</v>
      </c>
      <c r="E46" s="117" t="s">
        <v>186</v>
      </c>
      <c r="F46" s="8"/>
      <c r="G46" s="8"/>
      <c r="H46" s="8"/>
      <c r="I46" s="8"/>
      <c r="J46" s="8"/>
      <c r="K46" s="8"/>
      <c r="L46" s="8"/>
      <c r="M46" s="8"/>
      <c r="N46" s="8"/>
    </row>
    <row r="47" spans="1:14" x14ac:dyDescent="0.4">
      <c r="A47" s="31"/>
      <c r="B47" s="380" t="s">
        <v>1597</v>
      </c>
      <c r="C47" s="381"/>
      <c r="D47" s="381"/>
      <c r="E47" s="382"/>
      <c r="F47" s="15"/>
      <c r="G47" s="15"/>
      <c r="H47" s="15"/>
      <c r="I47" s="8"/>
      <c r="J47" s="8"/>
      <c r="K47" s="8"/>
      <c r="L47" s="8"/>
      <c r="M47" s="8"/>
      <c r="N47" s="8"/>
    </row>
    <row r="48" spans="1:14" x14ac:dyDescent="0.4">
      <c r="A48" s="32"/>
      <c r="B48" s="62"/>
      <c r="C48" s="23"/>
      <c r="D48" s="173"/>
      <c r="E48" s="23"/>
      <c r="F48" s="15"/>
      <c r="G48" s="15"/>
      <c r="H48" s="15"/>
      <c r="I48" s="15"/>
      <c r="J48" s="8"/>
      <c r="K48" s="8"/>
      <c r="L48" s="8"/>
      <c r="M48" s="8"/>
      <c r="N48" s="8"/>
    </row>
    <row r="49" spans="1:14" x14ac:dyDescent="0.4">
      <c r="A49" s="24">
        <v>10</v>
      </c>
      <c r="B49" s="376" t="s">
        <v>1085</v>
      </c>
      <c r="C49" s="365"/>
      <c r="D49" s="365"/>
      <c r="E49" s="365"/>
      <c r="F49" s="15"/>
      <c r="G49" s="15"/>
      <c r="H49" s="15"/>
      <c r="I49" s="8"/>
      <c r="J49" s="8"/>
      <c r="K49" s="8"/>
      <c r="L49" s="8"/>
      <c r="M49" s="8"/>
      <c r="N49" s="8"/>
    </row>
    <row r="50" spans="1:14" ht="21.75" customHeight="1" x14ac:dyDescent="0.4">
      <c r="A50" s="29"/>
      <c r="B50" s="383" t="s">
        <v>43</v>
      </c>
      <c r="C50" s="519" t="s">
        <v>1598</v>
      </c>
      <c r="D50" s="520"/>
      <c r="E50" s="634"/>
      <c r="F50" s="8"/>
      <c r="G50" s="8"/>
      <c r="H50" s="8"/>
      <c r="I50" s="8"/>
      <c r="J50" s="8"/>
      <c r="K50" s="1"/>
      <c r="L50" s="8"/>
      <c r="M50" s="8"/>
      <c r="N50" s="8"/>
    </row>
    <row r="51" spans="1:14" ht="35.450000000000003" customHeight="1" x14ac:dyDescent="0.4">
      <c r="A51" s="29"/>
      <c r="B51" s="384"/>
      <c r="C51" s="555"/>
      <c r="D51" s="556"/>
      <c r="E51" s="557"/>
      <c r="F51" s="8"/>
      <c r="G51" s="8"/>
      <c r="H51" s="8"/>
      <c r="I51" s="8"/>
      <c r="J51" s="8"/>
      <c r="K51" s="1"/>
      <c r="L51" s="8"/>
      <c r="M51" s="8"/>
      <c r="N51" s="8"/>
    </row>
    <row r="52" spans="1:14" ht="63.05" customHeight="1" x14ac:dyDescent="0.4">
      <c r="A52" s="24"/>
      <c r="B52" s="33" t="s">
        <v>44</v>
      </c>
      <c r="C52" s="391" t="s">
        <v>1596</v>
      </c>
      <c r="D52" s="391"/>
      <c r="E52" s="391"/>
      <c r="F52" s="8"/>
      <c r="G52" s="8"/>
      <c r="H52" s="8"/>
      <c r="I52" s="8"/>
      <c r="J52" s="8"/>
      <c r="K52" s="8"/>
      <c r="L52" s="8"/>
      <c r="M52" s="8"/>
      <c r="N52" s="8"/>
    </row>
    <row r="53" spans="1:14" x14ac:dyDescent="0.4">
      <c r="A53" s="29"/>
      <c r="B53" s="33" t="s">
        <v>45</v>
      </c>
      <c r="C53" s="471" t="s">
        <v>46</v>
      </c>
      <c r="D53" s="472"/>
      <c r="E53" s="473"/>
      <c r="F53" s="8"/>
      <c r="G53" s="8"/>
      <c r="H53" s="8"/>
      <c r="I53" s="8"/>
      <c r="J53" s="8"/>
      <c r="K53" s="34"/>
      <c r="L53" s="8"/>
      <c r="M53" s="8"/>
      <c r="N53" s="8"/>
    </row>
    <row r="54" spans="1:14" ht="14.35" customHeight="1" x14ac:dyDescent="0.4">
      <c r="A54" s="29"/>
      <c r="B54" s="380" t="s">
        <v>1597</v>
      </c>
      <c r="C54" s="381"/>
      <c r="D54" s="381"/>
      <c r="E54" s="382"/>
      <c r="F54" s="8"/>
      <c r="G54" s="8"/>
      <c r="H54" s="8"/>
      <c r="I54" s="8"/>
      <c r="J54" s="8"/>
      <c r="K54" s="34"/>
      <c r="L54" s="8"/>
      <c r="M54" s="8"/>
      <c r="N54" s="8"/>
    </row>
    <row r="55" spans="1:14" x14ac:dyDescent="0.4">
      <c r="A55" s="35" t="s">
        <v>47</v>
      </c>
      <c r="B55" s="392" t="s">
        <v>48</v>
      </c>
      <c r="C55" s="392"/>
      <c r="D55" s="392"/>
      <c r="E55" s="392"/>
      <c r="F55" s="63"/>
      <c r="G55" s="63"/>
      <c r="H55" s="63"/>
      <c r="I55" s="63"/>
      <c r="J55" s="63"/>
      <c r="K55" s="63"/>
      <c r="L55" s="63"/>
      <c r="M55" s="63"/>
      <c r="N55" s="63"/>
    </row>
    <row r="56" spans="1:14" x14ac:dyDescent="0.4">
      <c r="A56" s="40"/>
      <c r="B56" s="41"/>
      <c r="C56" s="42"/>
      <c r="D56" s="175"/>
      <c r="E56" s="42"/>
      <c r="F56" s="42"/>
      <c r="G56" s="8"/>
      <c r="H56" s="8"/>
      <c r="I56" s="8"/>
      <c r="J56" s="8"/>
      <c r="K56" s="8"/>
      <c r="L56" s="8"/>
      <c r="M56" s="8"/>
      <c r="N56" s="8"/>
    </row>
    <row r="57" spans="1:14" x14ac:dyDescent="0.4">
      <c r="A57" s="9">
        <v>11</v>
      </c>
      <c r="B57" s="3" t="s">
        <v>49</v>
      </c>
      <c r="C57" s="580" t="s">
        <v>851</v>
      </c>
      <c r="D57" s="580"/>
      <c r="E57" s="580"/>
      <c r="F57" s="11"/>
      <c r="G57" s="11"/>
      <c r="H57" s="43"/>
      <c r="I57" s="11"/>
      <c r="J57" s="11"/>
      <c r="K57" s="8"/>
      <c r="L57" s="8"/>
      <c r="M57" s="8"/>
      <c r="N57" s="8"/>
    </row>
    <row r="58" spans="1:14" x14ac:dyDescent="0.4">
      <c r="A58" s="9"/>
      <c r="B58" s="15"/>
      <c r="C58" s="15"/>
      <c r="D58" s="170"/>
      <c r="E58" s="15"/>
      <c r="F58" s="15"/>
      <c r="G58" s="15"/>
      <c r="H58" s="44"/>
      <c r="I58" s="44"/>
      <c r="J58" s="15"/>
      <c r="K58" s="8"/>
      <c r="L58" s="8"/>
      <c r="M58" s="8"/>
      <c r="N58" s="8"/>
    </row>
    <row r="59" spans="1:14" x14ac:dyDescent="0.4">
      <c r="A59" s="9">
        <v>12</v>
      </c>
      <c r="B59" s="11" t="s">
        <v>51</v>
      </c>
      <c r="C59" s="11"/>
      <c r="D59" s="176"/>
      <c r="E59" s="43"/>
      <c r="F59" s="43"/>
      <c r="G59" s="11"/>
      <c r="H59" s="11"/>
      <c r="I59" s="11"/>
      <c r="J59" s="11"/>
      <c r="K59" s="11"/>
      <c r="L59" s="11"/>
      <c r="M59" s="11"/>
      <c r="N59" s="11"/>
    </row>
    <row r="60" spans="1:14" x14ac:dyDescent="0.4">
      <c r="A60" s="9"/>
      <c r="B60" s="11"/>
      <c r="C60" s="11"/>
      <c r="D60" s="176"/>
      <c r="E60" s="43"/>
      <c r="F60" s="43"/>
      <c r="G60" s="43"/>
      <c r="H60" s="11"/>
      <c r="I60" s="11"/>
      <c r="J60" s="11"/>
      <c r="K60" s="11"/>
      <c r="L60" s="11"/>
      <c r="M60" s="11"/>
      <c r="N60" s="11"/>
    </row>
    <row r="61" spans="1:14" x14ac:dyDescent="0.4">
      <c r="A61" s="9"/>
      <c r="B61" s="17" t="s">
        <v>52</v>
      </c>
      <c r="C61" s="446" t="s">
        <v>1599</v>
      </c>
      <c r="D61" s="446"/>
      <c r="E61" s="446"/>
      <c r="F61" s="44"/>
      <c r="G61" s="44"/>
      <c r="H61" s="15"/>
      <c r="I61" s="15"/>
      <c r="J61" s="15"/>
      <c r="K61" s="15"/>
      <c r="L61" s="15"/>
      <c r="M61" s="15"/>
      <c r="N61" s="15"/>
    </row>
    <row r="62" spans="1:14" x14ac:dyDescent="0.4">
      <c r="A62" s="9"/>
      <c r="B62" s="15"/>
      <c r="C62" s="15"/>
      <c r="D62" s="236"/>
      <c r="E62" s="118"/>
      <c r="F62" s="15"/>
      <c r="G62" s="15"/>
      <c r="H62" s="118"/>
      <c r="I62" s="15"/>
      <c r="J62" s="118"/>
      <c r="K62" s="15"/>
      <c r="L62" s="15"/>
      <c r="M62" s="15"/>
      <c r="N62" s="15"/>
    </row>
    <row r="63" spans="1:14" x14ac:dyDescent="0.4">
      <c r="A63" s="9"/>
      <c r="B63" s="365" t="s">
        <v>53</v>
      </c>
      <c r="C63" s="366" t="s">
        <v>1188</v>
      </c>
      <c r="D63" s="558" t="s">
        <v>271</v>
      </c>
      <c r="E63" s="403" t="s">
        <v>232</v>
      </c>
      <c r="F63" s="395" t="s">
        <v>626</v>
      </c>
      <c r="G63" s="396"/>
      <c r="H63" s="397"/>
      <c r="I63" s="398" t="s">
        <v>55</v>
      </c>
      <c r="J63" s="398"/>
      <c r="K63" s="398"/>
      <c r="L63" s="398" t="s">
        <v>56</v>
      </c>
      <c r="M63" s="398"/>
      <c r="N63" s="398"/>
    </row>
    <row r="64" spans="1:14" ht="38.450000000000003" x14ac:dyDescent="0.4">
      <c r="A64" s="2"/>
      <c r="B64" s="365"/>
      <c r="C64" s="402"/>
      <c r="D64" s="559"/>
      <c r="E64" s="404"/>
      <c r="F64" s="17" t="s">
        <v>57</v>
      </c>
      <c r="G64" s="17" t="s">
        <v>58</v>
      </c>
      <c r="H64" s="17" t="s">
        <v>59</v>
      </c>
      <c r="I64" s="17" t="s">
        <v>60</v>
      </c>
      <c r="J64" s="17" t="s">
        <v>58</v>
      </c>
      <c r="K64" s="17" t="s">
        <v>59</v>
      </c>
      <c r="L64" s="17" t="s">
        <v>60</v>
      </c>
      <c r="M64" s="17" t="s">
        <v>58</v>
      </c>
      <c r="N64" s="17" t="s">
        <v>59</v>
      </c>
    </row>
    <row r="65" spans="1:14" x14ac:dyDescent="0.4">
      <c r="A65" s="2"/>
      <c r="B65" s="17" t="s">
        <v>103</v>
      </c>
      <c r="C65" s="284">
        <v>207.9</v>
      </c>
      <c r="D65" s="101" t="s">
        <v>1189</v>
      </c>
      <c r="E65" s="101" t="s">
        <v>1189</v>
      </c>
      <c r="F65" s="101" t="s">
        <v>41</v>
      </c>
      <c r="G65" s="101" t="s">
        <v>41</v>
      </c>
      <c r="H65" s="101" t="s">
        <v>41</v>
      </c>
      <c r="I65" s="101" t="s">
        <v>41</v>
      </c>
      <c r="J65" s="101" t="s">
        <v>41</v>
      </c>
      <c r="K65" s="101" t="s">
        <v>41</v>
      </c>
      <c r="L65" s="101" t="s">
        <v>41</v>
      </c>
      <c r="M65" s="101" t="s">
        <v>41</v>
      </c>
      <c r="N65" s="101" t="s">
        <v>41</v>
      </c>
    </row>
    <row r="66" spans="1:14" x14ac:dyDescent="0.4">
      <c r="A66" s="2"/>
      <c r="B66" s="17" t="s">
        <v>1600</v>
      </c>
      <c r="C66" s="284">
        <v>21771.7</v>
      </c>
      <c r="D66" s="101" t="s">
        <v>1189</v>
      </c>
      <c r="E66" s="101" t="s">
        <v>1189</v>
      </c>
      <c r="F66" s="101" t="s">
        <v>41</v>
      </c>
      <c r="G66" s="101" t="s">
        <v>41</v>
      </c>
      <c r="H66" s="101" t="s">
        <v>41</v>
      </c>
      <c r="I66" s="101" t="s">
        <v>41</v>
      </c>
      <c r="J66" s="101" t="s">
        <v>41</v>
      </c>
      <c r="K66" s="101" t="s">
        <v>41</v>
      </c>
      <c r="L66" s="101" t="s">
        <v>41</v>
      </c>
      <c r="M66" s="101" t="s">
        <v>41</v>
      </c>
      <c r="N66" s="101" t="s">
        <v>41</v>
      </c>
    </row>
    <row r="67" spans="1:14" x14ac:dyDescent="0.4">
      <c r="A67" s="2"/>
      <c r="B67" s="17" t="s">
        <v>1087</v>
      </c>
      <c r="C67" s="546" t="s">
        <v>83</v>
      </c>
      <c r="D67" s="546"/>
      <c r="E67" s="546"/>
      <c r="F67" s="546"/>
      <c r="G67" s="546"/>
      <c r="H67" s="546"/>
      <c r="I67" s="546"/>
      <c r="J67" s="546"/>
      <c r="K67" s="546"/>
      <c r="L67" s="546"/>
      <c r="M67" s="546"/>
      <c r="N67" s="546"/>
    </row>
    <row r="68" spans="1:14" s="8" customFormat="1" ht="13.25" x14ac:dyDescent="0.4">
      <c r="A68" s="2"/>
      <c r="B68" s="399" t="s">
        <v>1601</v>
      </c>
      <c r="C68" s="399"/>
      <c r="D68" s="399"/>
      <c r="E68" s="399"/>
      <c r="F68" s="399"/>
      <c r="G68" s="399"/>
      <c r="H68" s="399"/>
      <c r="I68" s="399"/>
      <c r="J68" s="399"/>
      <c r="K68" s="399"/>
      <c r="L68" s="399"/>
      <c r="M68" s="399"/>
      <c r="N68" s="399"/>
    </row>
    <row r="69" spans="1:14" x14ac:dyDescent="0.4">
      <c r="A69" s="2"/>
      <c r="B69" s="545" t="s">
        <v>94</v>
      </c>
      <c r="C69" s="545"/>
      <c r="D69" s="545"/>
      <c r="E69" s="545"/>
      <c r="F69" s="545"/>
      <c r="G69" s="545"/>
      <c r="H69" s="545"/>
      <c r="I69" s="545"/>
      <c r="J69" s="545"/>
      <c r="K69" s="545"/>
      <c r="L69" s="545"/>
      <c r="M69" s="545"/>
      <c r="N69" s="545"/>
    </row>
    <row r="70" spans="1:14" x14ac:dyDescent="0.4">
      <c r="A70" s="2"/>
      <c r="B70" s="480" t="s">
        <v>63</v>
      </c>
      <c r="C70" s="480"/>
      <c r="D70" s="480"/>
      <c r="E70" s="480"/>
      <c r="F70" s="480"/>
      <c r="G70" s="480"/>
      <c r="H70" s="480"/>
      <c r="I70" s="480"/>
      <c r="J70" s="480"/>
      <c r="K70" s="480"/>
      <c r="L70" s="480"/>
      <c r="M70" s="480"/>
      <c r="N70" s="480"/>
    </row>
    <row r="71" spans="1:14" x14ac:dyDescent="0.4">
      <c r="A71" s="1"/>
      <c r="B71" s="474" t="s">
        <v>64</v>
      </c>
      <c r="C71" s="474"/>
      <c r="D71" s="474"/>
      <c r="E71" s="474"/>
      <c r="F71" s="474"/>
      <c r="G71" s="474"/>
      <c r="H71" s="474"/>
      <c r="I71" s="474"/>
      <c r="J71" s="474"/>
      <c r="K71" s="474"/>
      <c r="L71" s="474"/>
      <c r="M71" s="474"/>
      <c r="N71" s="474"/>
    </row>
    <row r="72" spans="1:14" x14ac:dyDescent="0.4">
      <c r="A72" s="2"/>
      <c r="B72" s="359" t="s">
        <v>358</v>
      </c>
      <c r="C72" s="359"/>
      <c r="D72" s="359"/>
      <c r="E72" s="359"/>
      <c r="F72" s="359"/>
      <c r="G72" s="359"/>
      <c r="H72" s="359"/>
      <c r="I72" s="359"/>
      <c r="J72" s="359"/>
      <c r="K72" s="359"/>
      <c r="L72" s="359"/>
      <c r="M72" s="359"/>
      <c r="N72" s="359"/>
    </row>
    <row r="73" spans="1:14" x14ac:dyDescent="0.4">
      <c r="A73" s="2"/>
      <c r="B73" s="359" t="s">
        <v>65</v>
      </c>
      <c r="C73" s="359"/>
      <c r="D73" s="359"/>
      <c r="E73" s="359"/>
      <c r="F73" s="359"/>
      <c r="G73" s="359"/>
      <c r="H73" s="359"/>
      <c r="I73" s="359"/>
      <c r="J73" s="359"/>
      <c r="K73" s="359"/>
      <c r="L73" s="359"/>
      <c r="M73" s="359"/>
      <c r="N73" s="359"/>
    </row>
    <row r="74" spans="1:14" x14ac:dyDescent="0.4">
      <c r="A74" s="2"/>
      <c r="B74" s="49"/>
      <c r="C74" s="49"/>
      <c r="D74" s="177"/>
      <c r="E74" s="49"/>
      <c r="F74" s="49"/>
      <c r="G74" s="13"/>
      <c r="H74" s="13"/>
      <c r="I74" s="13"/>
      <c r="J74" s="13"/>
      <c r="K74" s="13"/>
      <c r="L74" s="13" t="s">
        <v>693</v>
      </c>
      <c r="M74" s="13"/>
      <c r="N74" s="13"/>
    </row>
    <row r="75" spans="1:14" ht="48.05" customHeight="1" x14ac:dyDescent="0.4">
      <c r="A75" s="9">
        <v>13</v>
      </c>
      <c r="B75" s="405" t="s">
        <v>66</v>
      </c>
      <c r="C75" s="406"/>
      <c r="D75" s="406"/>
      <c r="E75" s="406"/>
      <c r="F75" s="406"/>
      <c r="G75" s="376"/>
      <c r="H75" s="11"/>
      <c r="I75" s="11"/>
      <c r="J75" s="11"/>
      <c r="K75" s="11"/>
      <c r="L75" s="11"/>
      <c r="M75" s="11"/>
      <c r="N75" s="11"/>
    </row>
    <row r="76" spans="1:14" x14ac:dyDescent="0.4">
      <c r="A76" s="9"/>
      <c r="B76" s="8"/>
      <c r="C76" s="15"/>
      <c r="D76" s="170"/>
      <c r="E76" s="15"/>
      <c r="F76" s="15"/>
      <c r="G76" s="15"/>
      <c r="H76" s="15"/>
      <c r="I76" s="15"/>
      <c r="J76" s="15"/>
      <c r="K76" s="15"/>
      <c r="L76" s="15"/>
      <c r="M76" s="15"/>
      <c r="N76" s="15"/>
    </row>
    <row r="77" spans="1:14" ht="25.65" x14ac:dyDescent="0.4">
      <c r="A77" s="2"/>
      <c r="B77" s="50" t="s">
        <v>67</v>
      </c>
      <c r="C77" s="18" t="s">
        <v>68</v>
      </c>
      <c r="D77" s="171" t="s">
        <v>1127</v>
      </c>
      <c r="E77" s="18" t="s">
        <v>218</v>
      </c>
      <c r="F77" s="18" t="s">
        <v>71</v>
      </c>
      <c r="G77" s="18" t="s">
        <v>107</v>
      </c>
      <c r="H77" s="13"/>
      <c r="I77" s="13"/>
      <c r="J77" s="13"/>
      <c r="K77" s="13"/>
      <c r="L77" s="13"/>
      <c r="M77" s="13"/>
      <c r="N77" s="13"/>
    </row>
    <row r="78" spans="1:14" ht="25.55" customHeight="1" x14ac:dyDescent="0.4">
      <c r="A78" s="2"/>
      <c r="B78" s="411" t="s">
        <v>1271</v>
      </c>
      <c r="C78" s="207" t="s">
        <v>1602</v>
      </c>
      <c r="D78" s="284">
        <v>10.11</v>
      </c>
      <c r="E78" s="435" t="s">
        <v>1603</v>
      </c>
      <c r="F78" s="435" t="s">
        <v>326</v>
      </c>
      <c r="G78" s="435" t="s">
        <v>220</v>
      </c>
      <c r="H78" s="53"/>
      <c r="I78" s="53"/>
      <c r="J78" s="53"/>
      <c r="K78" s="53"/>
      <c r="L78" s="53"/>
      <c r="M78" s="53"/>
      <c r="N78" s="53"/>
    </row>
    <row r="79" spans="1:14" ht="25.65" x14ac:dyDescent="0.4">
      <c r="A79" s="2"/>
      <c r="B79" s="533"/>
      <c r="C79" s="207" t="s">
        <v>1604</v>
      </c>
      <c r="D79" s="284" t="s">
        <v>84</v>
      </c>
      <c r="E79" s="436"/>
      <c r="F79" s="436"/>
      <c r="G79" s="436"/>
      <c r="H79" s="53"/>
      <c r="I79" s="53"/>
      <c r="J79" s="53"/>
      <c r="K79" s="53"/>
      <c r="L79" s="53"/>
      <c r="M79" s="53"/>
      <c r="N79" s="53"/>
    </row>
    <row r="80" spans="1:14" x14ac:dyDescent="0.4">
      <c r="A80" s="2"/>
      <c r="B80" s="534"/>
      <c r="C80" s="207" t="s">
        <v>74</v>
      </c>
      <c r="D80" s="284" t="s">
        <v>84</v>
      </c>
      <c r="E80" s="436"/>
      <c r="F80" s="436"/>
      <c r="G80" s="436"/>
      <c r="H80" s="53"/>
      <c r="I80" s="53"/>
      <c r="J80" s="53"/>
      <c r="K80" s="53"/>
      <c r="L80" s="53"/>
      <c r="M80" s="53"/>
      <c r="N80" s="53"/>
    </row>
    <row r="81" spans="1:14" x14ac:dyDescent="0.4">
      <c r="A81" s="2"/>
      <c r="B81" s="411" t="s">
        <v>75</v>
      </c>
      <c r="C81" s="207" t="s">
        <v>1602</v>
      </c>
      <c r="D81" s="284">
        <v>10.68</v>
      </c>
      <c r="E81" s="436"/>
      <c r="F81" s="436"/>
      <c r="G81" s="436"/>
      <c r="H81" s="53"/>
      <c r="I81" s="53"/>
      <c r="J81" s="53"/>
      <c r="K81" s="53"/>
      <c r="L81" s="53"/>
      <c r="M81" s="53"/>
      <c r="N81" s="53"/>
    </row>
    <row r="82" spans="1:14" ht="25.65" x14ac:dyDescent="0.4">
      <c r="A82" s="2"/>
      <c r="B82" s="533"/>
      <c r="C82" s="207" t="s">
        <v>1604</v>
      </c>
      <c r="D82" s="284" t="s">
        <v>84</v>
      </c>
      <c r="E82" s="436"/>
      <c r="F82" s="436"/>
      <c r="G82" s="436"/>
      <c r="H82" s="53"/>
      <c r="I82" s="53"/>
      <c r="J82" s="53"/>
      <c r="K82" s="53"/>
      <c r="L82" s="53"/>
      <c r="M82" s="53"/>
      <c r="N82" s="53"/>
    </row>
    <row r="83" spans="1:14" x14ac:dyDescent="0.4">
      <c r="A83" s="2"/>
      <c r="B83" s="534"/>
      <c r="C83" s="207" t="s">
        <v>74</v>
      </c>
      <c r="D83" s="284" t="s">
        <v>84</v>
      </c>
      <c r="E83" s="436"/>
      <c r="F83" s="436"/>
      <c r="G83" s="436"/>
      <c r="H83" s="53"/>
      <c r="I83" s="53"/>
      <c r="J83" s="53"/>
      <c r="K83" s="53"/>
      <c r="L83" s="53"/>
      <c r="M83" s="53"/>
      <c r="N83" s="53"/>
    </row>
    <row r="84" spans="1:14" x14ac:dyDescent="0.4">
      <c r="A84" s="2"/>
      <c r="B84" s="411" t="s">
        <v>76</v>
      </c>
      <c r="C84" s="207" t="s">
        <v>1602</v>
      </c>
      <c r="D84" s="284">
        <v>27.66</v>
      </c>
      <c r="E84" s="436"/>
      <c r="F84" s="436"/>
      <c r="G84" s="436"/>
      <c r="H84" s="53"/>
      <c r="I84" s="53"/>
      <c r="J84" s="53"/>
      <c r="K84" s="53"/>
      <c r="L84" s="53"/>
      <c r="M84" s="53"/>
      <c r="N84" s="53"/>
    </row>
    <row r="85" spans="1:14" ht="25.65" x14ac:dyDescent="0.4">
      <c r="A85" s="2"/>
      <c r="B85" s="533"/>
      <c r="C85" s="207" t="s">
        <v>1604</v>
      </c>
      <c r="D85" s="284" t="s">
        <v>84</v>
      </c>
      <c r="E85" s="436"/>
      <c r="F85" s="436"/>
      <c r="G85" s="436"/>
      <c r="H85" s="53"/>
      <c r="I85" s="53"/>
      <c r="J85" s="53"/>
      <c r="K85" s="53"/>
      <c r="L85" s="53"/>
      <c r="M85" s="53"/>
      <c r="N85" s="53"/>
    </row>
    <row r="86" spans="1:14" x14ac:dyDescent="0.4">
      <c r="A86" s="2"/>
      <c r="B86" s="534"/>
      <c r="C86" s="207" t="s">
        <v>74</v>
      </c>
      <c r="D86" s="284" t="s">
        <v>84</v>
      </c>
      <c r="E86" s="436"/>
      <c r="F86" s="436"/>
      <c r="G86" s="436"/>
      <c r="H86" s="53"/>
      <c r="I86" s="53"/>
      <c r="J86" s="53"/>
      <c r="K86" s="53"/>
      <c r="L86" s="53"/>
      <c r="M86" s="53"/>
      <c r="N86" s="53"/>
    </row>
    <row r="87" spans="1:14" x14ac:dyDescent="0.4">
      <c r="A87" s="2"/>
      <c r="B87" s="603" t="s">
        <v>77</v>
      </c>
      <c r="C87" s="207" t="s">
        <v>1602</v>
      </c>
      <c r="D87" s="284">
        <v>36.56</v>
      </c>
      <c r="E87" s="436"/>
      <c r="F87" s="436"/>
      <c r="G87" s="436"/>
      <c r="H87" s="53"/>
      <c r="I87" s="53"/>
      <c r="J87" s="53"/>
      <c r="K87" s="53"/>
      <c r="L87" s="53"/>
      <c r="M87" s="53"/>
      <c r="N87" s="53"/>
    </row>
    <row r="88" spans="1:14" ht="25.65" x14ac:dyDescent="0.4">
      <c r="A88" s="2"/>
      <c r="B88" s="604"/>
      <c r="C88" s="207" t="s">
        <v>1604</v>
      </c>
      <c r="D88" s="284" t="s">
        <v>84</v>
      </c>
      <c r="E88" s="436"/>
      <c r="F88" s="436"/>
      <c r="G88" s="436"/>
      <c r="H88" s="53"/>
      <c r="I88" s="53"/>
      <c r="J88" s="53"/>
      <c r="K88" s="53"/>
      <c r="L88" s="53"/>
      <c r="M88" s="53"/>
      <c r="N88" s="53"/>
    </row>
    <row r="89" spans="1:14" ht="15.05" customHeight="1" x14ac:dyDescent="0.4">
      <c r="A89" s="2"/>
      <c r="B89" s="604"/>
      <c r="C89" s="3" t="s">
        <v>74</v>
      </c>
      <c r="D89" s="284" t="s">
        <v>84</v>
      </c>
      <c r="E89" s="547"/>
      <c r="F89" s="547"/>
      <c r="G89" s="547"/>
      <c r="H89" s="53"/>
      <c r="I89" s="53"/>
      <c r="J89" s="53"/>
      <c r="K89" s="53"/>
      <c r="L89" s="53"/>
      <c r="M89" s="53"/>
      <c r="N89" s="53"/>
    </row>
    <row r="90" spans="1:14" ht="15.8" customHeight="1" x14ac:dyDescent="0.4">
      <c r="A90" s="8"/>
      <c r="B90" s="630" t="s">
        <v>1605</v>
      </c>
      <c r="C90" s="630"/>
      <c r="D90" s="630"/>
      <c r="E90" s="630"/>
      <c r="F90" s="630"/>
      <c r="G90" s="630"/>
      <c r="H90" s="53"/>
      <c r="I90" s="53"/>
      <c r="J90" s="8"/>
      <c r="K90" s="8"/>
      <c r="L90" s="8"/>
      <c r="M90" s="8"/>
      <c r="N90" s="8"/>
    </row>
    <row r="91" spans="1:14" x14ac:dyDescent="0.4">
      <c r="A91" s="23"/>
      <c r="B91" s="61" t="s">
        <v>78</v>
      </c>
      <c r="C91" s="497" t="s">
        <v>41</v>
      </c>
      <c r="D91" s="497"/>
      <c r="E91" s="497"/>
      <c r="F91" s="497"/>
      <c r="G91" s="497"/>
      <c r="H91" s="8"/>
      <c r="I91" s="8"/>
      <c r="J91" s="8"/>
      <c r="K91" s="8"/>
      <c r="L91" s="8"/>
      <c r="M91" s="8"/>
      <c r="N91" s="8"/>
    </row>
    <row r="92" spans="1:14" x14ac:dyDescent="0.4">
      <c r="A92" s="8"/>
      <c r="B92" s="8"/>
      <c r="C92" s="10"/>
      <c r="D92" s="208"/>
      <c r="E92" s="200"/>
      <c r="F92" s="200"/>
      <c r="G92" s="200"/>
      <c r="H92" s="8"/>
      <c r="I92" s="8"/>
      <c r="J92" s="8"/>
      <c r="K92" s="8"/>
      <c r="L92" s="8"/>
      <c r="M92" s="8"/>
      <c r="N92" s="8"/>
    </row>
    <row r="93" spans="1:14" x14ac:dyDescent="0.4">
      <c r="A93" s="8"/>
      <c r="B93" s="8"/>
      <c r="C93" s="8"/>
      <c r="D93" s="208"/>
      <c r="H93" s="8"/>
      <c r="I93" s="8"/>
      <c r="J93" s="8"/>
      <c r="K93" s="8"/>
      <c r="L93" s="8"/>
      <c r="M93" s="8"/>
      <c r="N93" s="8"/>
    </row>
    <row r="94" spans="1:14" ht="15.05" customHeight="1" x14ac:dyDescent="0.4">
      <c r="A94" s="8"/>
      <c r="B94" s="8"/>
      <c r="C94" s="8"/>
      <c r="D94" s="167"/>
      <c r="H94" s="200"/>
      <c r="I94" s="8"/>
      <c r="J94" s="8"/>
      <c r="K94" s="8"/>
      <c r="L94" s="8"/>
      <c r="M94" s="8"/>
      <c r="N94" s="8"/>
    </row>
    <row r="95" spans="1:14" ht="15.05" customHeight="1" x14ac:dyDescent="0.4">
      <c r="B95" s="538" t="s">
        <v>1606</v>
      </c>
      <c r="C95" s="538"/>
      <c r="D95" s="538"/>
      <c r="E95" s="538"/>
      <c r="F95" s="538"/>
      <c r="G95" s="538"/>
    </row>
    <row r="96" spans="1:14" ht="15.05" customHeight="1" x14ac:dyDescent="0.4">
      <c r="B96" s="515" t="s">
        <v>1607</v>
      </c>
      <c r="C96" s="515"/>
      <c r="D96" s="515"/>
      <c r="E96" s="515"/>
      <c r="F96" s="515"/>
      <c r="G96" s="515"/>
    </row>
    <row r="97" spans="3:4" x14ac:dyDescent="0.4">
      <c r="C97" s="228"/>
      <c r="D97" s="228"/>
    </row>
    <row r="98" spans="3:4" x14ac:dyDescent="0.4">
      <c r="C98" s="238"/>
    </row>
    <row r="99" spans="3:4" x14ac:dyDescent="0.4">
      <c r="C99" s="228"/>
      <c r="D99" s="228"/>
    </row>
    <row r="100" spans="3:4" x14ac:dyDescent="0.4">
      <c r="C100" s="228"/>
    </row>
  </sheetData>
  <sheetProtection algorithmName="SHA-512" hashValue="qO8RF6pLSTnvei+W8FUQIZ+aMTAPNQK9FmpkNHTjlzeVjhm650SZ0KP2Y0nAw5iTYDwDyjEpmeoGtuKJKX6y9A==" saltValue="YopFYK2KJVYQkvrGF2KIHg==" spinCount="100000" sheet="1" objects="1" scenarios="1"/>
  <mergeCells count="68">
    <mergeCell ref="B90:G90"/>
    <mergeCell ref="C91:G91"/>
    <mergeCell ref="B95:G95"/>
    <mergeCell ref="B96:G96"/>
    <mergeCell ref="B72:N72"/>
    <mergeCell ref="B73:N73"/>
    <mergeCell ref="B75:G75"/>
    <mergeCell ref="B78:B80"/>
    <mergeCell ref="E78:E89"/>
    <mergeCell ref="F78:F89"/>
    <mergeCell ref="G78:G89"/>
    <mergeCell ref="B81:B83"/>
    <mergeCell ref="B84:B86"/>
    <mergeCell ref="B87:B89"/>
    <mergeCell ref="B71:N71"/>
    <mergeCell ref="B63:B64"/>
    <mergeCell ref="C63:C64"/>
    <mergeCell ref="D63:D64"/>
    <mergeCell ref="E63:E64"/>
    <mergeCell ref="F63:H63"/>
    <mergeCell ref="I63:K63"/>
    <mergeCell ref="L63:N63"/>
    <mergeCell ref="C67:N67"/>
    <mergeCell ref="B68:N68"/>
    <mergeCell ref="B69:N69"/>
    <mergeCell ref="B70:N70"/>
    <mergeCell ref="C61:E61"/>
    <mergeCell ref="B42:E42"/>
    <mergeCell ref="B44:E44"/>
    <mergeCell ref="B47:E47"/>
    <mergeCell ref="B49:E49"/>
    <mergeCell ref="B50:B51"/>
    <mergeCell ref="C50:E51"/>
    <mergeCell ref="C52:E52"/>
    <mergeCell ref="C53:E53"/>
    <mergeCell ref="B54:E54"/>
    <mergeCell ref="B55:E55"/>
    <mergeCell ref="C57:E57"/>
    <mergeCell ref="C41:E41"/>
    <mergeCell ref="C27:C30"/>
    <mergeCell ref="D27:D30"/>
    <mergeCell ref="E27:E30"/>
    <mergeCell ref="B31:E31"/>
    <mergeCell ref="B33:E33"/>
    <mergeCell ref="C34:E34"/>
    <mergeCell ref="C35:E35"/>
    <mergeCell ref="C36:E36"/>
    <mergeCell ref="B38:E38"/>
    <mergeCell ref="C39:E39"/>
    <mergeCell ref="C40:E40"/>
    <mergeCell ref="B25:E25"/>
    <mergeCell ref="C11:E11"/>
    <mergeCell ref="B12:E12"/>
    <mergeCell ref="C14:E14"/>
    <mergeCell ref="B15:E15"/>
    <mergeCell ref="B17:E17"/>
    <mergeCell ref="C18:E18"/>
    <mergeCell ref="C19:E19"/>
    <mergeCell ref="C20:E20"/>
    <mergeCell ref="C21:E21"/>
    <mergeCell ref="C22:E22"/>
    <mergeCell ref="B24:E24"/>
    <mergeCell ref="B9:E9"/>
    <mergeCell ref="A1:B1"/>
    <mergeCell ref="C3:E3"/>
    <mergeCell ref="C5:E5"/>
    <mergeCell ref="B6:E6"/>
    <mergeCell ref="C8:E8"/>
  </mergeCells>
  <pageMargins left="0.7" right="0.7" top="0.75" bottom="0.75" header="0.3" footer="0.3"/>
  <pageSetup paperSize="8" orientation="landscape" verticalDpi="300" r:id="rId1"/>
  <rowBreaks count="2" manualBreakCount="2">
    <brk id="36" max="16383" man="1"/>
    <brk id="58"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3"/>
  <sheetViews>
    <sheetView topLeftCell="F52" workbookViewId="0">
      <selection activeCell="B75" sqref="B75:N75"/>
    </sheetView>
  </sheetViews>
  <sheetFormatPr defaultColWidth="8.84375" defaultRowHeight="13.25" x14ac:dyDescent="0.4"/>
  <cols>
    <col min="1" max="1" width="8.84375" style="8"/>
    <col min="2" max="2" width="40.3046875" style="8" customWidth="1"/>
    <col min="3" max="3" width="40.84375" style="8" customWidth="1"/>
    <col min="4" max="4" width="15.84375" style="8" customWidth="1"/>
    <col min="5" max="5" width="22.3046875" style="8" customWidth="1"/>
    <col min="6" max="6" width="19.84375" style="8" customWidth="1"/>
    <col min="7" max="7" width="22.3046875" style="8" customWidth="1"/>
    <col min="8" max="8" width="10.4609375" style="8" bestFit="1" customWidth="1"/>
    <col min="9" max="16384" width="8.84375" style="8"/>
  </cols>
  <sheetData>
    <row r="1" spans="1:5" ht="14.35" customHeight="1" x14ac:dyDescent="0.4">
      <c r="A1" s="355" t="s">
        <v>0</v>
      </c>
      <c r="B1" s="355"/>
      <c r="D1" s="1"/>
    </row>
    <row r="3" spans="1:5" ht="19.25" customHeight="1" x14ac:dyDescent="0.4">
      <c r="A3" s="2" t="s">
        <v>1</v>
      </c>
      <c r="B3" s="3" t="s">
        <v>2</v>
      </c>
      <c r="C3" s="4" t="s">
        <v>259</v>
      </c>
    </row>
    <row r="4" spans="1:5" x14ac:dyDescent="0.4">
      <c r="D4" s="5"/>
    </row>
    <row r="5" spans="1:5" ht="21" customHeight="1" x14ac:dyDescent="0.4">
      <c r="A5" s="6">
        <v>1</v>
      </c>
      <c r="B5" s="7" t="s">
        <v>3</v>
      </c>
      <c r="C5" s="356" t="s">
        <v>90</v>
      </c>
      <c r="D5" s="357"/>
      <c r="E5" s="358"/>
    </row>
    <row r="6" spans="1:5" ht="15.05" customHeight="1" x14ac:dyDescent="0.4">
      <c r="A6" s="9"/>
      <c r="B6" s="359" t="s">
        <v>5</v>
      </c>
      <c r="C6" s="359"/>
      <c r="D6" s="359"/>
      <c r="E6" s="10"/>
    </row>
    <row r="7" spans="1:5" x14ac:dyDescent="0.4">
      <c r="A7" s="9"/>
      <c r="B7" s="11"/>
      <c r="D7" s="5"/>
    </row>
    <row r="8" spans="1:5" ht="21" customHeight="1" x14ac:dyDescent="0.4">
      <c r="A8" s="9">
        <v>2</v>
      </c>
      <c r="B8" s="7" t="s">
        <v>6</v>
      </c>
      <c r="C8" s="12" t="s">
        <v>260</v>
      </c>
      <c r="D8" s="5"/>
    </row>
    <row r="9" spans="1:5" ht="16.25" customHeight="1" x14ac:dyDescent="0.4">
      <c r="A9" s="9"/>
      <c r="B9" s="360" t="s">
        <v>5</v>
      </c>
      <c r="C9" s="361"/>
      <c r="D9" s="362"/>
    </row>
    <row r="10" spans="1:5" x14ac:dyDescent="0.4">
      <c r="A10" s="9"/>
      <c r="B10" s="11"/>
      <c r="D10" s="5"/>
    </row>
    <row r="11" spans="1:5" ht="30.6" customHeight="1" x14ac:dyDescent="0.4">
      <c r="A11" s="9">
        <v>3</v>
      </c>
      <c r="B11" s="7" t="s">
        <v>7</v>
      </c>
      <c r="C11" s="356" t="s">
        <v>8</v>
      </c>
      <c r="D11" s="357"/>
      <c r="E11" s="358"/>
    </row>
    <row r="12" spans="1:5" ht="17.45" customHeight="1" x14ac:dyDescent="0.4">
      <c r="A12" s="9"/>
      <c r="B12" s="359" t="s">
        <v>5</v>
      </c>
      <c r="C12" s="359"/>
      <c r="D12" s="359"/>
      <c r="E12" s="10"/>
    </row>
    <row r="13" spans="1:5" x14ac:dyDescent="0.4">
      <c r="A13" s="9"/>
      <c r="B13" s="11"/>
      <c r="D13" s="5"/>
    </row>
    <row r="14" spans="1:5" ht="30.6" customHeight="1" x14ac:dyDescent="0.4">
      <c r="A14" s="9">
        <v>4</v>
      </c>
      <c r="B14" s="3" t="s">
        <v>9</v>
      </c>
      <c r="C14" s="4" t="s">
        <v>261</v>
      </c>
      <c r="D14" s="5"/>
    </row>
    <row r="15" spans="1:5" ht="14.35" customHeight="1" x14ac:dyDescent="0.4">
      <c r="A15" s="9"/>
      <c r="B15" s="363" t="s">
        <v>10</v>
      </c>
      <c r="C15" s="364"/>
      <c r="D15" s="5"/>
    </row>
    <row r="16" spans="1:5" x14ac:dyDescent="0.4">
      <c r="A16" s="9"/>
      <c r="D16" s="5"/>
    </row>
    <row r="17" spans="1:14" x14ac:dyDescent="0.4">
      <c r="A17" s="9">
        <v>5</v>
      </c>
      <c r="B17" s="365" t="s">
        <v>11</v>
      </c>
      <c r="C17" s="366"/>
      <c r="D17" s="366"/>
      <c r="E17" s="366"/>
      <c r="F17" s="11"/>
      <c r="G17" s="11"/>
      <c r="H17" s="11"/>
      <c r="I17" s="11"/>
      <c r="J17" s="13"/>
      <c r="K17" s="13"/>
      <c r="L17" s="13"/>
      <c r="M17" s="13"/>
      <c r="N17" s="13"/>
    </row>
    <row r="18" spans="1:14" x14ac:dyDescent="0.4">
      <c r="A18" s="9"/>
      <c r="B18" s="14" t="s">
        <v>12</v>
      </c>
      <c r="C18" s="367" t="s">
        <v>13</v>
      </c>
      <c r="D18" s="367"/>
      <c r="E18" s="367"/>
      <c r="F18" s="15"/>
      <c r="G18" s="13"/>
      <c r="H18" s="13"/>
      <c r="I18" s="13"/>
      <c r="J18" s="13"/>
      <c r="K18" s="13"/>
      <c r="L18" s="13"/>
      <c r="M18" s="13"/>
      <c r="N18" s="13"/>
    </row>
    <row r="19" spans="1:14" ht="25.65" x14ac:dyDescent="0.4">
      <c r="A19" s="9"/>
      <c r="B19" s="14" t="s">
        <v>243</v>
      </c>
      <c r="C19" s="367" t="s">
        <v>13</v>
      </c>
      <c r="D19" s="367"/>
      <c r="E19" s="367"/>
      <c r="F19" s="15"/>
      <c r="G19" s="13"/>
      <c r="I19" s="13"/>
      <c r="J19" s="13"/>
      <c r="K19" s="13"/>
      <c r="L19" s="13"/>
      <c r="M19" s="13"/>
      <c r="N19" s="13"/>
    </row>
    <row r="20" spans="1:14" x14ac:dyDescent="0.4">
      <c r="A20" s="9"/>
      <c r="B20" s="14" t="s">
        <v>14</v>
      </c>
      <c r="C20" s="354" t="s">
        <v>13</v>
      </c>
      <c r="D20" s="354"/>
      <c r="E20" s="354"/>
      <c r="F20" s="15"/>
      <c r="G20" s="13"/>
      <c r="H20" s="13"/>
      <c r="I20" s="13"/>
      <c r="J20" s="13"/>
      <c r="K20" s="13"/>
      <c r="L20" s="13"/>
      <c r="M20" s="13"/>
      <c r="N20" s="13"/>
    </row>
    <row r="21" spans="1:14" x14ac:dyDescent="0.4">
      <c r="A21" s="9"/>
      <c r="B21" s="14" t="s">
        <v>15</v>
      </c>
      <c r="C21" s="354" t="s">
        <v>13</v>
      </c>
      <c r="D21" s="354"/>
      <c r="E21" s="354"/>
      <c r="F21" s="15"/>
      <c r="G21" s="13"/>
      <c r="H21" s="13"/>
      <c r="I21" s="13"/>
      <c r="J21" s="13"/>
      <c r="K21" s="13"/>
      <c r="L21" s="13"/>
      <c r="M21" s="13"/>
      <c r="N21" s="13"/>
    </row>
    <row r="22" spans="1:14" x14ac:dyDescent="0.4">
      <c r="A22" s="9"/>
      <c r="B22" s="16" t="s">
        <v>16</v>
      </c>
      <c r="C22" s="354" t="s">
        <v>13</v>
      </c>
      <c r="D22" s="354"/>
      <c r="E22" s="354"/>
      <c r="F22" s="15"/>
      <c r="G22" s="13"/>
      <c r="H22" s="13"/>
      <c r="I22" s="13"/>
      <c r="J22" s="13"/>
      <c r="K22" s="13"/>
      <c r="L22" s="13"/>
      <c r="M22" s="13"/>
      <c r="N22" s="13"/>
    </row>
    <row r="23" spans="1:14" x14ac:dyDescent="0.4">
      <c r="A23" s="9"/>
      <c r="B23" s="359" t="s">
        <v>94</v>
      </c>
      <c r="C23" s="359"/>
      <c r="D23" s="359"/>
      <c r="E23" s="359"/>
      <c r="F23" s="15"/>
      <c r="G23" s="13"/>
      <c r="H23" s="13"/>
      <c r="I23" s="13"/>
      <c r="J23" s="13"/>
      <c r="K23" s="13"/>
      <c r="L23" s="13"/>
      <c r="M23" s="13"/>
      <c r="N23" s="13"/>
    </row>
    <row r="24" spans="1:14" x14ac:dyDescent="0.4">
      <c r="A24" s="9"/>
      <c r="C24" s="13"/>
      <c r="D24" s="13"/>
      <c r="E24" s="13"/>
      <c r="F24" s="15"/>
      <c r="G24" s="13"/>
      <c r="H24" s="13"/>
      <c r="I24" s="13"/>
      <c r="J24" s="13"/>
      <c r="K24" s="13"/>
      <c r="L24" s="13"/>
      <c r="M24" s="13"/>
      <c r="N24" s="13"/>
    </row>
    <row r="25" spans="1:14" x14ac:dyDescent="0.4">
      <c r="A25" s="9"/>
      <c r="B25" s="15"/>
      <c r="C25" s="15"/>
      <c r="D25" s="15"/>
      <c r="E25" s="15"/>
      <c r="F25" s="15"/>
      <c r="G25" s="13"/>
      <c r="H25" s="13"/>
      <c r="I25" s="13"/>
      <c r="J25" s="13"/>
      <c r="K25" s="13"/>
      <c r="L25" s="13"/>
      <c r="M25" s="13"/>
      <c r="N25" s="13"/>
    </row>
    <row r="26" spans="1:14" ht="30.05" customHeight="1" x14ac:dyDescent="0.4">
      <c r="A26" s="9">
        <v>6</v>
      </c>
      <c r="B26" s="365" t="s">
        <v>736</v>
      </c>
      <c r="C26" s="365"/>
      <c r="D26" s="365"/>
      <c r="E26" s="365"/>
      <c r="F26" s="11"/>
      <c r="G26" s="11"/>
      <c r="H26" s="13"/>
      <c r="I26" s="11"/>
      <c r="J26" s="11"/>
    </row>
    <row r="27" spans="1:14" x14ac:dyDescent="0.4">
      <c r="A27" s="9"/>
      <c r="B27" s="370" t="s">
        <v>19</v>
      </c>
      <c r="C27" s="371"/>
      <c r="D27" s="371"/>
      <c r="E27" s="372"/>
      <c r="F27" s="15"/>
    </row>
    <row r="28" spans="1:14" x14ac:dyDescent="0.4">
      <c r="A28" s="9"/>
      <c r="B28" s="17" t="s">
        <v>20</v>
      </c>
      <c r="C28" s="18" t="s">
        <v>262</v>
      </c>
      <c r="D28" s="18" t="s">
        <v>22</v>
      </c>
      <c r="E28" s="18" t="s">
        <v>293</v>
      </c>
      <c r="F28" s="15"/>
    </row>
    <row r="29" spans="1:14" x14ac:dyDescent="0.4">
      <c r="A29" s="9"/>
      <c r="B29" s="19" t="s">
        <v>24</v>
      </c>
      <c r="C29" s="21">
        <v>289.75</v>
      </c>
      <c r="D29" s="96">
        <v>626.45000000000005</v>
      </c>
      <c r="E29" s="96">
        <v>1005.89</v>
      </c>
      <c r="F29" s="15"/>
    </row>
    <row r="30" spans="1:14" x14ac:dyDescent="0.4">
      <c r="A30" s="9"/>
      <c r="B30" s="19" t="s">
        <v>25</v>
      </c>
      <c r="C30" s="21">
        <v>122.54</v>
      </c>
      <c r="D30" s="96">
        <v>413.77</v>
      </c>
      <c r="E30" s="96">
        <v>194.56</v>
      </c>
      <c r="F30" s="15"/>
    </row>
    <row r="31" spans="1:14" x14ac:dyDescent="0.4">
      <c r="A31" s="9"/>
      <c r="B31" s="19" t="s">
        <v>26</v>
      </c>
      <c r="C31" s="21">
        <v>1744.68</v>
      </c>
      <c r="D31" s="96">
        <v>1744.68</v>
      </c>
      <c r="E31" s="96">
        <v>1744.68</v>
      </c>
      <c r="F31" s="15"/>
    </row>
    <row r="32" spans="1:14" x14ac:dyDescent="0.4">
      <c r="A32" s="9"/>
      <c r="B32" s="19" t="s">
        <v>27</v>
      </c>
      <c r="C32" s="21">
        <v>3843.14</v>
      </c>
      <c r="D32" s="96">
        <v>3775.75</v>
      </c>
      <c r="E32" s="96">
        <v>3970.31</v>
      </c>
      <c r="F32" s="15"/>
    </row>
    <row r="33" spans="1:10" x14ac:dyDescent="0.4">
      <c r="A33" s="9"/>
      <c r="B33" s="363" t="s">
        <v>228</v>
      </c>
      <c r="C33" s="368"/>
      <c r="D33" s="368"/>
      <c r="E33" s="369"/>
      <c r="F33" s="15"/>
    </row>
    <row r="34" spans="1:10" x14ac:dyDescent="0.4">
      <c r="A34" s="9"/>
      <c r="B34" s="13"/>
      <c r="C34" s="15"/>
      <c r="D34" s="15"/>
      <c r="E34" s="15"/>
      <c r="F34" s="15"/>
    </row>
    <row r="35" spans="1:10" x14ac:dyDescent="0.4">
      <c r="A35" s="9">
        <v>7</v>
      </c>
      <c r="B35" s="365" t="s">
        <v>28</v>
      </c>
      <c r="C35" s="365"/>
      <c r="D35" s="365"/>
      <c r="E35" s="365"/>
      <c r="F35" s="11"/>
      <c r="G35" s="11"/>
      <c r="H35" s="11"/>
      <c r="I35" s="11"/>
      <c r="J35" s="11"/>
    </row>
    <row r="36" spans="1:10" x14ac:dyDescent="0.4">
      <c r="A36" s="9"/>
      <c r="B36" s="17" t="s">
        <v>29</v>
      </c>
      <c r="C36" s="20" t="s">
        <v>183</v>
      </c>
      <c r="D36" s="13"/>
      <c r="E36" s="13"/>
      <c r="F36" s="13"/>
    </row>
    <row r="37" spans="1:10" x14ac:dyDescent="0.4">
      <c r="A37" s="9"/>
      <c r="B37" s="17" t="s">
        <v>31</v>
      </c>
      <c r="C37" s="20" t="s">
        <v>183</v>
      </c>
      <c r="D37" s="13"/>
      <c r="E37" s="13"/>
      <c r="F37" s="13"/>
    </row>
    <row r="38" spans="1:10" x14ac:dyDescent="0.4">
      <c r="A38" s="9"/>
      <c r="B38" s="22" t="s">
        <v>32</v>
      </c>
      <c r="C38" s="20" t="s">
        <v>183</v>
      </c>
      <c r="D38" s="13"/>
      <c r="E38" s="13"/>
      <c r="F38" s="13"/>
    </row>
    <row r="39" spans="1:10" x14ac:dyDescent="0.4">
      <c r="A39" s="9"/>
      <c r="B39" s="359" t="s">
        <v>94</v>
      </c>
      <c r="C39" s="359"/>
      <c r="D39" s="13"/>
      <c r="E39" s="13"/>
      <c r="F39" s="13"/>
    </row>
    <row r="40" spans="1:10" x14ac:dyDescent="0.4">
      <c r="A40" s="9"/>
      <c r="C40" s="13"/>
      <c r="D40" s="13"/>
      <c r="E40" s="13"/>
      <c r="F40" s="13"/>
    </row>
    <row r="41" spans="1:10" x14ac:dyDescent="0.4">
      <c r="A41" s="9"/>
      <c r="B41" s="15"/>
      <c r="C41" s="13"/>
      <c r="D41" s="13"/>
      <c r="E41" s="13"/>
      <c r="F41" s="13"/>
    </row>
    <row r="42" spans="1:10" x14ac:dyDescent="0.4">
      <c r="A42" s="9">
        <v>8</v>
      </c>
      <c r="B42" s="365" t="s">
        <v>33</v>
      </c>
      <c r="C42" s="365"/>
      <c r="D42" s="365"/>
      <c r="E42" s="365"/>
      <c r="F42" s="11"/>
      <c r="G42" s="11"/>
      <c r="H42" s="11"/>
      <c r="I42" s="11"/>
      <c r="J42" s="11"/>
    </row>
    <row r="43" spans="1:10" x14ac:dyDescent="0.4">
      <c r="A43" s="9"/>
      <c r="B43" s="17" t="s">
        <v>34</v>
      </c>
      <c r="C43" s="373" t="s">
        <v>13</v>
      </c>
      <c r="D43" s="374"/>
      <c r="E43" s="375"/>
      <c r="F43" s="13"/>
    </row>
    <row r="44" spans="1:10" x14ac:dyDescent="0.4">
      <c r="A44" s="9"/>
      <c r="B44" s="17" t="s">
        <v>31</v>
      </c>
      <c r="C44" s="373" t="s">
        <v>13</v>
      </c>
      <c r="D44" s="374"/>
      <c r="E44" s="375"/>
      <c r="F44" s="13"/>
    </row>
    <row r="45" spans="1:10" x14ac:dyDescent="0.4">
      <c r="A45" s="9"/>
      <c r="B45" s="17" t="s">
        <v>32</v>
      </c>
      <c r="C45" s="446" t="s">
        <v>737</v>
      </c>
      <c r="D45" s="446"/>
      <c r="E45" s="446"/>
      <c r="F45" s="13"/>
    </row>
    <row r="46" spans="1:10" x14ac:dyDescent="0.4">
      <c r="A46" s="9"/>
      <c r="B46" s="363" t="s">
        <v>35</v>
      </c>
      <c r="C46" s="368"/>
      <c r="D46" s="368"/>
      <c r="E46" s="369"/>
      <c r="F46" s="13"/>
    </row>
    <row r="47" spans="1:10" x14ac:dyDescent="0.4">
      <c r="A47" s="2"/>
      <c r="D47" s="23"/>
      <c r="E47" s="13"/>
    </row>
    <row r="48" spans="1:10" x14ac:dyDescent="0.4">
      <c r="A48" s="24">
        <v>9</v>
      </c>
      <c r="B48" s="376" t="s">
        <v>36</v>
      </c>
      <c r="C48" s="365"/>
      <c r="D48" s="365"/>
      <c r="E48" s="365"/>
      <c r="F48" s="25"/>
      <c r="G48" s="11"/>
      <c r="H48" s="11"/>
      <c r="I48" s="11"/>
    </row>
    <row r="49" spans="1:12" ht="25.65" x14ac:dyDescent="0.4">
      <c r="A49" s="24"/>
      <c r="B49" s="26" t="s">
        <v>37</v>
      </c>
      <c r="C49" s="27" t="s">
        <v>38</v>
      </c>
      <c r="D49" s="28" t="s">
        <v>39</v>
      </c>
      <c r="E49" s="27" t="s">
        <v>206</v>
      </c>
    </row>
    <row r="50" spans="1:12" ht="39.75" x14ac:dyDescent="0.4">
      <c r="A50" s="29"/>
      <c r="B50" s="78" t="s">
        <v>265</v>
      </c>
      <c r="C50" s="78" t="s">
        <v>266</v>
      </c>
      <c r="D50" s="28"/>
      <c r="E50" s="27"/>
    </row>
    <row r="51" spans="1:12" x14ac:dyDescent="0.4">
      <c r="A51" s="29"/>
      <c r="B51" s="377"/>
      <c r="C51" s="378"/>
      <c r="D51" s="378"/>
      <c r="E51" s="379"/>
    </row>
    <row r="52" spans="1:12" x14ac:dyDescent="0.4">
      <c r="A52" s="31"/>
      <c r="B52" s="380" t="s">
        <v>267</v>
      </c>
      <c r="C52" s="381"/>
      <c r="D52" s="381"/>
      <c r="E52" s="382"/>
      <c r="F52" s="15"/>
      <c r="G52" s="15"/>
      <c r="H52" s="15"/>
    </row>
    <row r="53" spans="1:12" x14ac:dyDescent="0.4">
      <c r="A53" s="32"/>
      <c r="B53" s="62"/>
      <c r="C53" s="23"/>
      <c r="D53" s="23"/>
      <c r="E53" s="23"/>
      <c r="F53" s="15"/>
      <c r="G53" s="15"/>
      <c r="H53" s="15"/>
      <c r="I53" s="15"/>
    </row>
    <row r="54" spans="1:12" x14ac:dyDescent="0.4">
      <c r="A54" s="24">
        <v>10</v>
      </c>
      <c r="B54" s="376" t="s">
        <v>36</v>
      </c>
      <c r="C54" s="365"/>
      <c r="D54" s="365"/>
      <c r="E54" s="365"/>
      <c r="F54" s="15"/>
      <c r="G54" s="15"/>
      <c r="H54" s="15"/>
    </row>
    <row r="55" spans="1:12" x14ac:dyDescent="0.4">
      <c r="A55" s="29"/>
      <c r="B55" s="383" t="s">
        <v>43</v>
      </c>
      <c r="C55" s="385" t="s">
        <v>268</v>
      </c>
      <c r="D55" s="386"/>
      <c r="E55" s="387"/>
      <c r="K55" s="1"/>
    </row>
    <row r="56" spans="1:12" x14ac:dyDescent="0.4">
      <c r="A56" s="29"/>
      <c r="B56" s="384"/>
      <c r="C56" s="388"/>
      <c r="D56" s="389"/>
      <c r="E56" s="390"/>
      <c r="K56" s="1"/>
    </row>
    <row r="57" spans="1:12" x14ac:dyDescent="0.4">
      <c r="A57" s="24"/>
      <c r="B57" s="33" t="s">
        <v>44</v>
      </c>
      <c r="C57" s="391" t="s">
        <v>186</v>
      </c>
      <c r="D57" s="391"/>
      <c r="E57" s="391"/>
    </row>
    <row r="58" spans="1:12" x14ac:dyDescent="0.4">
      <c r="A58" s="29"/>
      <c r="B58" s="33" t="s">
        <v>45</v>
      </c>
      <c r="C58" s="391" t="s">
        <v>46</v>
      </c>
      <c r="D58" s="391"/>
      <c r="E58" s="391"/>
      <c r="K58" s="34"/>
    </row>
    <row r="59" spans="1:12" x14ac:dyDescent="0.4">
      <c r="A59" s="29"/>
      <c r="B59" s="380" t="s">
        <v>267</v>
      </c>
      <c r="C59" s="381"/>
      <c r="D59" s="381"/>
      <c r="E59" s="382"/>
      <c r="K59" s="34"/>
    </row>
    <row r="60" spans="1:12" s="63" customFormat="1" x14ac:dyDescent="0.35">
      <c r="A60" s="35" t="s">
        <v>47</v>
      </c>
      <c r="B60" s="392" t="s">
        <v>48</v>
      </c>
      <c r="C60" s="392"/>
      <c r="D60" s="392"/>
      <c r="E60" s="392"/>
    </row>
    <row r="61" spans="1:12" x14ac:dyDescent="0.4">
      <c r="A61" s="36"/>
      <c r="B61" s="2"/>
      <c r="C61" s="37"/>
      <c r="D61" s="38"/>
      <c r="E61" s="39"/>
      <c r="F61" s="34"/>
      <c r="G61" s="34"/>
      <c r="H61" s="34"/>
      <c r="I61" s="34"/>
      <c r="J61" s="34"/>
      <c r="K61" s="34"/>
      <c r="L61" s="34"/>
    </row>
    <row r="62" spans="1:12" x14ac:dyDescent="0.4">
      <c r="A62" s="40"/>
      <c r="B62" s="41"/>
      <c r="C62" s="42"/>
      <c r="D62" s="42"/>
      <c r="E62" s="42"/>
      <c r="F62" s="42"/>
    </row>
    <row r="63" spans="1:12" x14ac:dyDescent="0.4">
      <c r="A63" s="9">
        <v>11</v>
      </c>
      <c r="B63" s="3" t="s">
        <v>49</v>
      </c>
      <c r="C63" s="393" t="s">
        <v>50</v>
      </c>
      <c r="D63" s="393"/>
      <c r="E63" s="393"/>
      <c r="F63" s="11"/>
      <c r="G63" s="11"/>
      <c r="H63" s="43"/>
      <c r="I63" s="11"/>
      <c r="J63" s="11"/>
    </row>
    <row r="64" spans="1:12" x14ac:dyDescent="0.4">
      <c r="A64" s="9"/>
      <c r="B64" s="15"/>
      <c r="C64" s="15"/>
      <c r="D64" s="15"/>
      <c r="E64" s="15"/>
      <c r="F64" s="15"/>
      <c r="G64" s="15"/>
      <c r="H64" s="44"/>
      <c r="I64" s="44"/>
      <c r="J64" s="15"/>
    </row>
    <row r="65" spans="1:14" x14ac:dyDescent="0.4">
      <c r="A65" s="9">
        <v>12</v>
      </c>
      <c r="B65" s="11" t="s">
        <v>51</v>
      </c>
      <c r="C65" s="11"/>
      <c r="D65" s="11"/>
      <c r="E65" s="11"/>
      <c r="F65" s="11"/>
      <c r="G65" s="11"/>
      <c r="H65" s="11"/>
      <c r="I65" s="11"/>
      <c r="J65" s="11"/>
      <c r="K65" s="11"/>
      <c r="L65" s="11"/>
      <c r="M65" s="11"/>
      <c r="N65" s="11"/>
    </row>
    <row r="66" spans="1:14" x14ac:dyDescent="0.4">
      <c r="A66" s="9"/>
      <c r="B66" s="11"/>
      <c r="C66" s="11"/>
      <c r="D66" s="11"/>
      <c r="E66" s="11"/>
      <c r="F66" s="11"/>
      <c r="G66" s="11"/>
      <c r="H66" s="11"/>
      <c r="I66" s="11"/>
      <c r="J66" s="11"/>
      <c r="K66" s="11"/>
      <c r="L66" s="11"/>
      <c r="M66" s="11"/>
      <c r="N66" s="11"/>
    </row>
    <row r="67" spans="1:14" x14ac:dyDescent="0.4">
      <c r="A67" s="9"/>
      <c r="B67" s="17" t="s">
        <v>52</v>
      </c>
      <c r="C67" s="19" t="s">
        <v>269</v>
      </c>
      <c r="D67" s="15"/>
      <c r="E67" s="15"/>
      <c r="F67" s="44"/>
      <c r="G67" s="44"/>
      <c r="H67" s="15"/>
      <c r="I67" s="15"/>
      <c r="J67" s="15"/>
      <c r="K67" s="15"/>
      <c r="L67" s="15"/>
      <c r="M67" s="15"/>
      <c r="N67" s="15"/>
    </row>
    <row r="68" spans="1:14" x14ac:dyDescent="0.4">
      <c r="A68" s="9"/>
      <c r="B68" s="15"/>
      <c r="C68" s="15"/>
      <c r="D68" s="15"/>
      <c r="E68" s="15"/>
      <c r="F68" s="15"/>
      <c r="G68" s="15"/>
      <c r="H68" s="15"/>
      <c r="I68" s="15"/>
      <c r="J68" s="15"/>
      <c r="K68" s="15"/>
      <c r="L68" s="15"/>
      <c r="M68" s="15"/>
      <c r="N68" s="15"/>
    </row>
    <row r="69" spans="1:14" x14ac:dyDescent="0.4">
      <c r="A69" s="9"/>
      <c r="B69" s="365" t="s">
        <v>53</v>
      </c>
      <c r="C69" s="366" t="s">
        <v>270</v>
      </c>
      <c r="D69" s="366" t="s">
        <v>271</v>
      </c>
      <c r="E69" s="403" t="s">
        <v>232</v>
      </c>
      <c r="F69" s="395" t="s">
        <v>54</v>
      </c>
      <c r="G69" s="396"/>
      <c r="H69" s="397"/>
      <c r="I69" s="398" t="s">
        <v>55</v>
      </c>
      <c r="J69" s="398"/>
      <c r="K69" s="398"/>
      <c r="L69" s="398" t="s">
        <v>56</v>
      </c>
      <c r="M69" s="398"/>
      <c r="N69" s="398"/>
    </row>
    <row r="70" spans="1:14" ht="38.450000000000003" x14ac:dyDescent="0.4">
      <c r="A70" s="2"/>
      <c r="B70" s="365"/>
      <c r="C70" s="402"/>
      <c r="D70" s="402"/>
      <c r="E70" s="404"/>
      <c r="F70" s="17" t="s">
        <v>57</v>
      </c>
      <c r="G70" s="17" t="s">
        <v>58</v>
      </c>
      <c r="H70" s="17" t="s">
        <v>59</v>
      </c>
      <c r="I70" s="17" t="s">
        <v>60</v>
      </c>
      <c r="J70" s="17" t="s">
        <v>58</v>
      </c>
      <c r="K70" s="17" t="s">
        <v>59</v>
      </c>
      <c r="L70" s="17" t="s">
        <v>60</v>
      </c>
      <c r="M70" s="17" t="s">
        <v>58</v>
      </c>
      <c r="N70" s="17" t="s">
        <v>59</v>
      </c>
    </row>
    <row r="71" spans="1:14" x14ac:dyDescent="0.4">
      <c r="A71" s="2"/>
      <c r="B71" s="17" t="s">
        <v>103</v>
      </c>
      <c r="C71" s="45">
        <v>22.9</v>
      </c>
      <c r="D71" s="46">
        <v>22.75</v>
      </c>
      <c r="E71" s="46">
        <v>21</v>
      </c>
      <c r="F71" s="46">
        <v>20.05</v>
      </c>
      <c r="G71" s="46">
        <v>26</v>
      </c>
      <c r="H71" s="45">
        <v>17.5</v>
      </c>
      <c r="I71" s="45">
        <v>19.75</v>
      </c>
      <c r="J71" s="45">
        <v>23.75</v>
      </c>
      <c r="K71" s="45">
        <v>16.25</v>
      </c>
      <c r="L71" s="45">
        <v>30.1</v>
      </c>
      <c r="M71" s="45">
        <v>34</v>
      </c>
      <c r="N71" s="45">
        <v>20.5</v>
      </c>
    </row>
    <row r="72" spans="1:14" ht="25.65" x14ac:dyDescent="0.4">
      <c r="A72" s="2"/>
      <c r="B72" s="17" t="s">
        <v>104</v>
      </c>
      <c r="C72" s="45">
        <v>8677.9</v>
      </c>
      <c r="D72" s="45">
        <v>8111.6</v>
      </c>
      <c r="E72" s="45">
        <v>8412.7999999999993</v>
      </c>
      <c r="F72" s="46">
        <v>9173.75</v>
      </c>
      <c r="G72" s="46">
        <v>8659.1</v>
      </c>
      <c r="H72" s="46">
        <v>9030.4500000000007</v>
      </c>
      <c r="I72" s="46">
        <v>10113.700000000001</v>
      </c>
      <c r="J72" s="46">
        <v>11171.55</v>
      </c>
      <c r="K72" s="46">
        <v>9075.15</v>
      </c>
      <c r="L72" s="45">
        <v>11623.9</v>
      </c>
      <c r="M72" s="45">
        <v>11760.2</v>
      </c>
      <c r="N72" s="45">
        <v>10004.549999999999</v>
      </c>
    </row>
    <row r="73" spans="1:14" x14ac:dyDescent="0.4">
      <c r="A73" s="2"/>
      <c r="B73" s="401" t="s">
        <v>94</v>
      </c>
      <c r="C73" s="401"/>
      <c r="D73" s="401"/>
      <c r="E73" s="401"/>
      <c r="F73" s="401"/>
      <c r="G73" s="401"/>
      <c r="H73" s="401"/>
      <c r="I73" s="401"/>
      <c r="J73" s="401"/>
      <c r="K73" s="401"/>
      <c r="L73" s="401"/>
      <c r="M73" s="401"/>
      <c r="N73" s="401"/>
    </row>
    <row r="74" spans="1:14" x14ac:dyDescent="0.4">
      <c r="A74" s="2"/>
      <c r="B74" s="359" t="s">
        <v>63</v>
      </c>
      <c r="C74" s="359"/>
      <c r="D74" s="359"/>
      <c r="E74" s="359"/>
      <c r="F74" s="359"/>
      <c r="G74" s="359"/>
      <c r="H74" s="359"/>
      <c r="I74" s="359"/>
      <c r="J74" s="359"/>
      <c r="K74" s="359"/>
      <c r="L74" s="359"/>
      <c r="M74" s="359"/>
      <c r="N74" s="359"/>
    </row>
    <row r="75" spans="1:14" s="1" customFormat="1" x14ac:dyDescent="0.4">
      <c r="B75" s="359" t="s">
        <v>64</v>
      </c>
      <c r="C75" s="359"/>
      <c r="D75" s="359"/>
      <c r="E75" s="359"/>
      <c r="F75" s="359"/>
      <c r="G75" s="359"/>
      <c r="H75" s="359"/>
      <c r="I75" s="359"/>
      <c r="J75" s="359"/>
      <c r="K75" s="359"/>
      <c r="L75" s="359"/>
      <c r="M75" s="359"/>
      <c r="N75" s="359"/>
    </row>
    <row r="76" spans="1:14" x14ac:dyDescent="0.4">
      <c r="A76" s="2"/>
      <c r="B76" s="359" t="s">
        <v>80</v>
      </c>
      <c r="C76" s="359"/>
      <c r="D76" s="359"/>
      <c r="E76" s="359"/>
      <c r="F76" s="359"/>
      <c r="G76" s="359"/>
      <c r="H76" s="359"/>
      <c r="I76" s="359"/>
      <c r="J76" s="359"/>
      <c r="K76" s="359"/>
      <c r="L76" s="359"/>
      <c r="M76" s="359"/>
      <c r="N76" s="359"/>
    </row>
    <row r="77" spans="1:14" x14ac:dyDescent="0.4">
      <c r="A77" s="2"/>
      <c r="B77" s="359" t="s">
        <v>65</v>
      </c>
      <c r="C77" s="359"/>
      <c r="D77" s="359"/>
      <c r="E77" s="359"/>
      <c r="F77" s="359"/>
      <c r="G77" s="359"/>
      <c r="H77" s="359"/>
      <c r="I77" s="359"/>
      <c r="J77" s="359"/>
      <c r="K77" s="359"/>
      <c r="L77" s="359"/>
      <c r="M77" s="359"/>
      <c r="N77" s="359"/>
    </row>
    <row r="78" spans="1:14" x14ac:dyDescent="0.4">
      <c r="A78" s="2"/>
      <c r="B78" s="49"/>
      <c r="C78" s="49"/>
      <c r="D78" s="49"/>
      <c r="E78" s="49"/>
      <c r="F78" s="49"/>
      <c r="G78" s="13"/>
      <c r="H78" s="13"/>
      <c r="I78" s="13"/>
      <c r="J78" s="13"/>
      <c r="K78" s="13"/>
      <c r="L78" s="13"/>
      <c r="M78" s="13"/>
      <c r="N78" s="13"/>
    </row>
    <row r="79" spans="1:14" x14ac:dyDescent="0.4">
      <c r="A79" s="9">
        <v>13</v>
      </c>
      <c r="B79" s="405" t="s">
        <v>66</v>
      </c>
      <c r="C79" s="406"/>
      <c r="D79" s="406"/>
      <c r="E79" s="406"/>
      <c r="F79" s="406"/>
      <c r="G79" s="376"/>
      <c r="H79" s="11"/>
      <c r="I79" s="11"/>
      <c r="J79" s="11"/>
      <c r="K79" s="11"/>
      <c r="L79" s="11"/>
      <c r="M79" s="11"/>
      <c r="N79" s="11"/>
    </row>
    <row r="80" spans="1:14" x14ac:dyDescent="0.4">
      <c r="A80" s="9"/>
      <c r="C80" s="15"/>
      <c r="D80" s="15"/>
      <c r="E80" s="15"/>
      <c r="F80" s="15"/>
      <c r="G80" s="15"/>
      <c r="H80" s="15"/>
      <c r="I80" s="15"/>
      <c r="J80" s="15"/>
      <c r="K80" s="15"/>
      <c r="L80" s="15"/>
      <c r="M80" s="15"/>
      <c r="N80" s="15"/>
    </row>
    <row r="81" spans="1:14" ht="102.5" x14ac:dyDescent="0.4">
      <c r="A81" s="2"/>
      <c r="B81" s="50" t="s">
        <v>67</v>
      </c>
      <c r="C81" s="18" t="s">
        <v>68</v>
      </c>
      <c r="D81" s="18" t="s">
        <v>69</v>
      </c>
      <c r="E81" s="18" t="s">
        <v>218</v>
      </c>
      <c r="F81" s="18" t="s">
        <v>71</v>
      </c>
      <c r="G81" s="18" t="s">
        <v>107</v>
      </c>
      <c r="H81" s="13"/>
      <c r="I81" s="13"/>
      <c r="J81" s="13"/>
      <c r="K81" s="13"/>
      <c r="L81" s="13"/>
      <c r="M81" s="13"/>
      <c r="N81" s="13"/>
    </row>
    <row r="82" spans="1:14" x14ac:dyDescent="0.35">
      <c r="A82" s="2"/>
      <c r="B82" s="394" t="s">
        <v>72</v>
      </c>
      <c r="C82" s="3" t="s">
        <v>272</v>
      </c>
      <c r="D82" s="65">
        <v>1.51</v>
      </c>
      <c r="E82" s="66">
        <v>0.7</v>
      </c>
      <c r="F82" s="21">
        <v>1.85</v>
      </c>
      <c r="G82" s="21">
        <v>1.1200000000000001</v>
      </c>
      <c r="H82" s="53"/>
      <c r="I82" s="53"/>
      <c r="J82" s="53"/>
      <c r="K82" s="53"/>
      <c r="L82" s="53"/>
      <c r="M82" s="53"/>
      <c r="N82" s="53"/>
    </row>
    <row r="83" spans="1:14" x14ac:dyDescent="0.4">
      <c r="A83" s="2"/>
      <c r="B83" s="394"/>
      <c r="C83" s="3" t="s">
        <v>73</v>
      </c>
      <c r="D83" s="76" t="s">
        <v>84</v>
      </c>
      <c r="E83" s="66"/>
      <c r="F83" s="21"/>
      <c r="G83" s="21"/>
      <c r="H83" s="53"/>
      <c r="I83" s="53"/>
      <c r="J83" s="53"/>
      <c r="K83" s="53"/>
      <c r="L83" s="53"/>
      <c r="M83" s="53"/>
      <c r="N83" s="53"/>
    </row>
    <row r="84" spans="1:14" x14ac:dyDescent="0.4">
      <c r="A84" s="2"/>
      <c r="B84" s="394"/>
      <c r="C84" s="21" t="s">
        <v>273</v>
      </c>
      <c r="D84" s="76">
        <v>22.2</v>
      </c>
      <c r="E84" s="66">
        <v>25.15</v>
      </c>
      <c r="F84" s="21">
        <v>9.23</v>
      </c>
      <c r="G84" s="21">
        <v>12.61</v>
      </c>
      <c r="H84" s="53"/>
      <c r="I84" s="53"/>
      <c r="J84" s="53"/>
      <c r="K84" s="53"/>
      <c r="L84" s="53"/>
      <c r="M84" s="53"/>
      <c r="N84" s="53"/>
    </row>
    <row r="85" spans="1:14" x14ac:dyDescent="0.4">
      <c r="A85" s="2"/>
      <c r="B85" s="394"/>
      <c r="C85" s="21" t="s">
        <v>274</v>
      </c>
      <c r="D85" s="76">
        <v>1.8</v>
      </c>
      <c r="E85" s="66">
        <v>2.29</v>
      </c>
      <c r="F85" s="21">
        <v>3.53</v>
      </c>
      <c r="G85" s="21">
        <v>0.79</v>
      </c>
      <c r="H85" s="53"/>
      <c r="I85" s="53"/>
      <c r="J85" s="53"/>
      <c r="K85" s="53"/>
      <c r="L85" s="53"/>
      <c r="M85" s="53"/>
      <c r="N85" s="53"/>
    </row>
    <row r="86" spans="1:14" x14ac:dyDescent="0.4">
      <c r="A86" s="2"/>
      <c r="B86" s="394"/>
      <c r="C86" s="21" t="s">
        <v>275</v>
      </c>
      <c r="D86" s="76">
        <v>9.6999999999999993</v>
      </c>
      <c r="E86" s="66">
        <v>-1.3</v>
      </c>
      <c r="F86" s="21">
        <v>1.94</v>
      </c>
      <c r="G86" s="21">
        <v>-11.34</v>
      </c>
      <c r="H86" s="53"/>
      <c r="I86" s="53"/>
      <c r="J86" s="53"/>
      <c r="K86" s="53"/>
      <c r="L86" s="53"/>
      <c r="M86" s="53"/>
      <c r="N86" s="53"/>
    </row>
    <row r="87" spans="1:14" x14ac:dyDescent="0.4">
      <c r="A87" s="2"/>
      <c r="B87" s="394"/>
      <c r="C87" s="3" t="s">
        <v>74</v>
      </c>
      <c r="D87" s="127">
        <f>D84+D85+D86/3</f>
        <v>27.233333333333334</v>
      </c>
      <c r="E87" s="128">
        <f>E84+E85+E86/3</f>
        <v>27.006666666666664</v>
      </c>
      <c r="F87" s="128">
        <f>F84+F85+F86/3</f>
        <v>13.406666666666666</v>
      </c>
      <c r="G87" s="128">
        <f>G84+G85+G86/3</f>
        <v>9.6199999999999992</v>
      </c>
      <c r="H87" s="53"/>
      <c r="I87" s="53"/>
      <c r="J87" s="53"/>
      <c r="K87" s="53"/>
      <c r="L87" s="53"/>
      <c r="M87" s="53"/>
      <c r="N87" s="53"/>
    </row>
    <row r="88" spans="1:14" x14ac:dyDescent="0.35">
      <c r="A88" s="2"/>
      <c r="B88" s="394" t="s">
        <v>75</v>
      </c>
      <c r="C88" s="3" t="s">
        <v>272</v>
      </c>
      <c r="D88" s="77">
        <v>14.56</v>
      </c>
      <c r="E88" s="66">
        <v>28.64</v>
      </c>
      <c r="F88" s="21">
        <v>16.27</v>
      </c>
      <c r="G88" s="120">
        <f>L71/G82</f>
        <v>26.875</v>
      </c>
      <c r="H88" s="53"/>
      <c r="I88" s="53"/>
      <c r="J88" s="53"/>
      <c r="K88" s="53"/>
      <c r="L88" s="53"/>
      <c r="M88" s="53"/>
      <c r="N88" s="53"/>
    </row>
    <row r="89" spans="1:14" x14ac:dyDescent="0.4">
      <c r="A89" s="2"/>
      <c r="B89" s="394"/>
      <c r="C89" s="3" t="s">
        <v>73</v>
      </c>
      <c r="D89" s="76" t="s">
        <v>84</v>
      </c>
      <c r="E89" s="66"/>
      <c r="F89" s="21"/>
      <c r="G89" s="21"/>
      <c r="H89" s="53"/>
      <c r="I89" s="53"/>
      <c r="J89" s="53"/>
      <c r="K89" s="53"/>
      <c r="L89" s="53"/>
      <c r="M89" s="53"/>
      <c r="N89" s="53"/>
    </row>
    <row r="90" spans="1:14" x14ac:dyDescent="0.4">
      <c r="A90" s="2"/>
      <c r="B90" s="394"/>
      <c r="C90" s="21" t="s">
        <v>273</v>
      </c>
      <c r="D90" s="76">
        <v>10.6</v>
      </c>
      <c r="E90" s="66">
        <v>15.14</v>
      </c>
      <c r="F90" s="21">
        <v>49.91</v>
      </c>
      <c r="G90" s="120">
        <f>460.65/G84</f>
        <v>36.530531324345759</v>
      </c>
      <c r="H90" s="53"/>
      <c r="I90" s="53"/>
      <c r="J90" s="53"/>
      <c r="K90" s="53"/>
      <c r="L90" s="53"/>
      <c r="M90" s="53"/>
      <c r="N90" s="53"/>
    </row>
    <row r="91" spans="1:14" x14ac:dyDescent="0.4">
      <c r="A91" s="2"/>
      <c r="B91" s="394"/>
      <c r="C91" s="21" t="s">
        <v>274</v>
      </c>
      <c r="D91" s="76">
        <v>20.6</v>
      </c>
      <c r="E91" s="66">
        <v>21.61</v>
      </c>
      <c r="F91" s="21">
        <v>5.32</v>
      </c>
      <c r="G91" s="120">
        <f>18.8/G85</f>
        <v>23.797468354430379</v>
      </c>
      <c r="H91" s="53"/>
      <c r="I91" s="53"/>
      <c r="J91" s="53"/>
      <c r="K91" s="53"/>
      <c r="L91" s="53"/>
      <c r="M91" s="53"/>
      <c r="N91" s="53"/>
    </row>
    <row r="92" spans="1:14" x14ac:dyDescent="0.4">
      <c r="A92" s="2"/>
      <c r="B92" s="394"/>
      <c r="C92" s="21" t="s">
        <v>275</v>
      </c>
      <c r="D92" s="76">
        <v>8.6999999999999993</v>
      </c>
      <c r="E92" s="103">
        <v>0</v>
      </c>
      <c r="F92" s="21">
        <v>24.17</v>
      </c>
      <c r="G92" s="120">
        <f>46.9/G86</f>
        <v>-4.1358024691358022</v>
      </c>
      <c r="H92" s="53"/>
      <c r="I92" s="53"/>
      <c r="J92" s="53"/>
      <c r="K92" s="53"/>
      <c r="L92" s="53"/>
      <c r="M92" s="53"/>
      <c r="N92" s="53"/>
    </row>
    <row r="93" spans="1:14" x14ac:dyDescent="0.4">
      <c r="A93" s="2"/>
      <c r="B93" s="394"/>
      <c r="C93" s="3" t="s">
        <v>74</v>
      </c>
      <c r="D93" s="127">
        <f>D90+D91+D92/3</f>
        <v>34.1</v>
      </c>
      <c r="E93" s="128">
        <f>E90+E91+E92/3</f>
        <v>36.75</v>
      </c>
      <c r="F93" s="128">
        <f>F90+F91+F92/3</f>
        <v>63.286666666666662</v>
      </c>
      <c r="G93" s="128">
        <f>G90+G91+G92/3</f>
        <v>58.94939885573087</v>
      </c>
      <c r="H93" s="53"/>
      <c r="I93" s="53"/>
      <c r="J93" s="53"/>
      <c r="K93" s="53"/>
      <c r="L93" s="53"/>
      <c r="M93" s="53"/>
      <c r="N93" s="53"/>
    </row>
    <row r="94" spans="1:14" x14ac:dyDescent="0.35">
      <c r="A94" s="2"/>
      <c r="B94" s="394" t="s">
        <v>76</v>
      </c>
      <c r="C94" s="3" t="s">
        <v>272</v>
      </c>
      <c r="D94" s="65">
        <v>4.3600000000000003</v>
      </c>
      <c r="E94" s="66">
        <v>2.19</v>
      </c>
      <c r="F94" s="21">
        <v>5.83</v>
      </c>
      <c r="G94" s="120">
        <f>194.56/5714.99</f>
        <v>3.4043804101144534E-2</v>
      </c>
      <c r="H94" s="53"/>
      <c r="I94" s="53"/>
      <c r="J94" s="53"/>
      <c r="K94" s="53"/>
      <c r="L94" s="53"/>
      <c r="M94" s="53"/>
      <c r="N94" s="53"/>
    </row>
    <row r="95" spans="1:14" x14ac:dyDescent="0.4">
      <c r="A95" s="2"/>
      <c r="B95" s="394"/>
      <c r="C95" s="3" t="s">
        <v>73</v>
      </c>
      <c r="D95" s="76" t="s">
        <v>84</v>
      </c>
      <c r="E95" s="66"/>
      <c r="F95" s="21"/>
      <c r="G95" s="21"/>
      <c r="H95" s="53"/>
      <c r="I95" s="53"/>
      <c r="J95" s="53"/>
      <c r="K95" s="53"/>
      <c r="L95" s="53"/>
      <c r="M95" s="53"/>
      <c r="N95" s="53"/>
    </row>
    <row r="96" spans="1:14" x14ac:dyDescent="0.4">
      <c r="A96" s="2"/>
      <c r="B96" s="394"/>
      <c r="C96" s="21" t="s">
        <v>273</v>
      </c>
      <c r="D96" s="76">
        <v>13.7</v>
      </c>
      <c r="E96" s="66">
        <v>18.48</v>
      </c>
      <c r="F96" s="21">
        <v>7.71</v>
      </c>
      <c r="G96" s="120">
        <f>18454.95/292475.47*100</f>
        <v>6.3099137852483844</v>
      </c>
      <c r="H96" s="53"/>
      <c r="I96" s="53"/>
      <c r="J96" s="53"/>
      <c r="K96" s="53"/>
      <c r="L96" s="53"/>
      <c r="M96" s="53"/>
      <c r="N96" s="53"/>
    </row>
    <row r="97" spans="1:14" x14ac:dyDescent="0.4">
      <c r="A97" s="2"/>
      <c r="B97" s="394"/>
      <c r="C97" s="21" t="s">
        <v>274</v>
      </c>
      <c r="D97" s="76">
        <v>42</v>
      </c>
      <c r="E97" s="66">
        <v>9.25</v>
      </c>
      <c r="F97" s="21">
        <v>13.64</v>
      </c>
      <c r="G97" s="120">
        <f>82.73/2810.46*100</f>
        <v>2.9436462358475124</v>
      </c>
      <c r="H97" s="53"/>
      <c r="I97" s="53"/>
      <c r="J97" s="53"/>
      <c r="K97" s="53"/>
      <c r="L97" s="53"/>
      <c r="M97" s="53"/>
      <c r="N97" s="53"/>
    </row>
    <row r="98" spans="1:14" x14ac:dyDescent="0.4">
      <c r="A98" s="2"/>
      <c r="B98" s="394"/>
      <c r="C98" s="21" t="s">
        <v>275</v>
      </c>
      <c r="D98" s="76">
        <v>9.3000000000000007</v>
      </c>
      <c r="E98" s="103">
        <v>0</v>
      </c>
      <c r="F98" s="21">
        <v>1.42</v>
      </c>
      <c r="G98" s="120">
        <f>-837.39/9180.75*100</f>
        <v>-9.1211502328241156</v>
      </c>
      <c r="H98" s="53"/>
      <c r="I98" s="53"/>
      <c r="J98" s="53"/>
      <c r="K98" s="53"/>
      <c r="L98" s="53"/>
      <c r="M98" s="53"/>
      <c r="N98" s="53"/>
    </row>
    <row r="99" spans="1:14" x14ac:dyDescent="0.4">
      <c r="A99" s="2"/>
      <c r="B99" s="394"/>
      <c r="C99" s="3" t="s">
        <v>74</v>
      </c>
      <c r="D99" s="127">
        <f>D96+D97+D98/3</f>
        <v>58.800000000000004</v>
      </c>
      <c r="E99" s="128">
        <f>E96+E97+E98/3</f>
        <v>27.73</v>
      </c>
      <c r="F99" s="128">
        <f>F96+F97+F98/3</f>
        <v>21.823333333333334</v>
      </c>
      <c r="G99" s="128">
        <f>G96+G97+G98/3</f>
        <v>6.2131766101545249</v>
      </c>
      <c r="H99" s="53"/>
      <c r="I99" s="53"/>
      <c r="J99" s="53"/>
      <c r="K99" s="57"/>
      <c r="L99" s="53"/>
      <c r="M99" s="53"/>
      <c r="N99" s="53"/>
    </row>
    <row r="100" spans="1:14" x14ac:dyDescent="0.35">
      <c r="A100" s="2"/>
      <c r="B100" s="394" t="s">
        <v>77</v>
      </c>
      <c r="C100" s="3" t="s">
        <v>272</v>
      </c>
      <c r="D100" s="65">
        <v>195.82</v>
      </c>
      <c r="E100" s="66">
        <v>32.03</v>
      </c>
      <c r="F100" s="21">
        <v>31.64</v>
      </c>
      <c r="G100" s="120">
        <f>(5714.99*100000)/17446800</f>
        <v>32.756665978861456</v>
      </c>
      <c r="H100" s="53"/>
      <c r="I100" s="53"/>
      <c r="J100" s="53"/>
      <c r="K100" s="53"/>
      <c r="L100" s="53"/>
      <c r="M100" s="53"/>
      <c r="N100" s="53"/>
    </row>
    <row r="101" spans="1:14" x14ac:dyDescent="0.4">
      <c r="A101" s="2"/>
      <c r="B101" s="394"/>
      <c r="C101" s="3" t="s">
        <v>73</v>
      </c>
      <c r="D101" s="76" t="s">
        <v>84</v>
      </c>
      <c r="E101" s="66"/>
      <c r="F101" s="21"/>
      <c r="G101" s="21"/>
      <c r="H101" s="53"/>
      <c r="I101" s="53"/>
      <c r="J101" s="53"/>
      <c r="K101" s="53"/>
      <c r="L101" s="53"/>
      <c r="M101" s="53"/>
      <c r="N101" s="53"/>
    </row>
    <row r="102" spans="1:14" x14ac:dyDescent="0.4">
      <c r="A102" s="2"/>
      <c r="B102" s="411"/>
      <c r="C102" s="21" t="s">
        <v>273</v>
      </c>
      <c r="D102" s="76">
        <v>112</v>
      </c>
      <c r="E102" s="66">
        <v>149.69</v>
      </c>
      <c r="F102" s="120">
        <f>27078033000/146344861</f>
        <v>185.02892971417697</v>
      </c>
      <c r="G102" s="120">
        <f>29247547000/146344861</f>
        <v>199.85359786566062</v>
      </c>
      <c r="H102" s="53"/>
      <c r="I102" s="53"/>
      <c r="J102" s="53"/>
      <c r="K102" s="53"/>
      <c r="L102" s="53"/>
      <c r="M102" s="53"/>
      <c r="N102" s="53"/>
    </row>
    <row r="103" spans="1:14" x14ac:dyDescent="0.4">
      <c r="A103" s="2"/>
      <c r="B103" s="411"/>
      <c r="C103" s="21" t="s">
        <v>274</v>
      </c>
      <c r="D103" s="76">
        <v>22.6</v>
      </c>
      <c r="E103" s="66">
        <v>24.77</v>
      </c>
      <c r="F103" s="21">
        <v>25.86</v>
      </c>
      <c r="G103" s="120">
        <f>281046186/10472000</f>
        <v>26.837871084797555</v>
      </c>
      <c r="H103" s="53"/>
      <c r="I103" s="53"/>
      <c r="J103" s="53"/>
      <c r="K103" s="53"/>
      <c r="L103" s="53"/>
      <c r="M103" s="53"/>
      <c r="N103" s="53"/>
    </row>
    <row r="104" spans="1:14" x14ac:dyDescent="0.4">
      <c r="A104" s="2"/>
      <c r="B104" s="411"/>
      <c r="C104" s="21" t="s">
        <v>275</v>
      </c>
      <c r="D104" s="76">
        <v>135.30000000000001</v>
      </c>
      <c r="E104" s="66">
        <v>133.97999999999999</v>
      </c>
      <c r="F104" s="21">
        <v>136.05000000000001</v>
      </c>
      <c r="G104" s="120">
        <f>9180.75/73838000</f>
        <v>1.243363850591836E-4</v>
      </c>
      <c r="H104" s="53"/>
      <c r="I104" s="53"/>
      <c r="J104" s="53"/>
      <c r="K104" s="53"/>
      <c r="L104" s="53"/>
      <c r="M104" s="53"/>
      <c r="N104" s="53"/>
    </row>
    <row r="105" spans="1:14" x14ac:dyDescent="0.4">
      <c r="A105" s="2"/>
      <c r="B105" s="411"/>
      <c r="C105" s="3" t="s">
        <v>74</v>
      </c>
      <c r="D105" s="127">
        <f>D102+D103+D104/3</f>
        <v>179.7</v>
      </c>
      <c r="E105" s="128">
        <f>E102+E103+E104/3</f>
        <v>219.12</v>
      </c>
      <c r="F105" s="128">
        <f>F102+F103+F104/3</f>
        <v>256.238929714177</v>
      </c>
      <c r="G105" s="128">
        <f>G102+G103+G104/3</f>
        <v>226.69151039591983</v>
      </c>
      <c r="H105" s="53"/>
      <c r="I105" s="53"/>
      <c r="J105" s="53"/>
      <c r="K105" s="53"/>
      <c r="L105" s="53"/>
      <c r="M105" s="53"/>
      <c r="N105" s="53"/>
    </row>
    <row r="106" spans="1:14" s="1" customFormat="1" x14ac:dyDescent="0.4">
      <c r="B106" s="412"/>
      <c r="C106" s="413"/>
      <c r="D106" s="413"/>
      <c r="E106" s="413"/>
      <c r="F106" s="413"/>
      <c r="G106" s="414"/>
    </row>
    <row r="107" spans="1:14" x14ac:dyDescent="0.4">
      <c r="A107" s="2"/>
      <c r="B107" s="415" t="s">
        <v>257</v>
      </c>
      <c r="C107" s="416"/>
      <c r="D107" s="416"/>
      <c r="E107" s="416"/>
      <c r="F107" s="416"/>
      <c r="G107" s="417"/>
      <c r="H107" s="53"/>
      <c r="I107" s="53"/>
      <c r="J107" s="53"/>
      <c r="K107" s="53"/>
      <c r="L107" s="53"/>
      <c r="M107" s="53"/>
      <c r="N107" s="53"/>
    </row>
    <row r="108" spans="1:14" x14ac:dyDescent="0.4">
      <c r="A108" s="2"/>
      <c r="B108" s="418" t="s">
        <v>85</v>
      </c>
      <c r="C108" s="419"/>
      <c r="D108" s="419"/>
      <c r="E108" s="419"/>
      <c r="F108" s="419"/>
      <c r="G108" s="420"/>
      <c r="H108" s="53"/>
      <c r="I108" s="53"/>
      <c r="J108" s="53"/>
      <c r="K108" s="53"/>
      <c r="L108" s="53"/>
      <c r="M108" s="53"/>
      <c r="N108" s="53"/>
    </row>
    <row r="109" spans="1:14" x14ac:dyDescent="0.4">
      <c r="A109" s="2"/>
      <c r="B109" s="363"/>
      <c r="C109" s="368"/>
      <c r="D109" s="368"/>
      <c r="E109" s="368"/>
      <c r="F109" s="368"/>
      <c r="G109" s="369"/>
      <c r="H109" s="53"/>
      <c r="I109" s="53"/>
      <c r="J109" s="53"/>
      <c r="K109" s="53"/>
      <c r="L109" s="53"/>
      <c r="M109" s="53"/>
      <c r="N109" s="53"/>
    </row>
    <row r="110" spans="1:14" x14ac:dyDescent="0.4">
      <c r="C110" s="407"/>
      <c r="D110" s="407"/>
      <c r="E110" s="407"/>
      <c r="F110" s="407"/>
      <c r="G110" s="407"/>
      <c r="H110" s="53"/>
      <c r="I110" s="53"/>
    </row>
    <row r="111" spans="1:14" x14ac:dyDescent="0.4">
      <c r="A111" s="9">
        <v>14</v>
      </c>
      <c r="B111" s="61" t="s">
        <v>78</v>
      </c>
      <c r="C111" s="356" t="s">
        <v>41</v>
      </c>
      <c r="D111" s="357"/>
      <c r="E111" s="357"/>
      <c r="F111" s="357"/>
      <c r="G111" s="408"/>
    </row>
    <row r="112" spans="1:14" x14ac:dyDescent="0.4">
      <c r="A112" s="23"/>
      <c r="C112" s="69"/>
      <c r="D112" s="69"/>
      <c r="E112" s="69"/>
      <c r="F112" s="69"/>
      <c r="G112" s="69"/>
    </row>
    <row r="113" spans="2:8" x14ac:dyDescent="0.4">
      <c r="B113" s="409" t="s">
        <v>276</v>
      </c>
      <c r="C113" s="410"/>
      <c r="D113" s="410"/>
      <c r="E113" s="410"/>
      <c r="F113" s="410"/>
      <c r="G113" s="410"/>
      <c r="H113" s="410"/>
    </row>
  </sheetData>
  <sheetProtection password="E9DF" sheet="1" objects="1" scenarios="1"/>
  <mergeCells count="59">
    <mergeCell ref="B75:N75"/>
    <mergeCell ref="B88:B93"/>
    <mergeCell ref="B94:B99"/>
    <mergeCell ref="B113:H113"/>
    <mergeCell ref="B106:G106"/>
    <mergeCell ref="B107:G107"/>
    <mergeCell ref="B108:G108"/>
    <mergeCell ref="B109:G109"/>
    <mergeCell ref="C110:G110"/>
    <mergeCell ref="C111:G111"/>
    <mergeCell ref="B100:B105"/>
    <mergeCell ref="B77:N77"/>
    <mergeCell ref="B79:G79"/>
    <mergeCell ref="B82:B87"/>
    <mergeCell ref="B76:N76"/>
    <mergeCell ref="F69:H69"/>
    <mergeCell ref="I69:K69"/>
    <mergeCell ref="L69:N69"/>
    <mergeCell ref="B73:N73"/>
    <mergeCell ref="B74:N74"/>
    <mergeCell ref="C63:E63"/>
    <mergeCell ref="B69:B70"/>
    <mergeCell ref="C69:C70"/>
    <mergeCell ref="D69:D70"/>
    <mergeCell ref="E69:E70"/>
    <mergeCell ref="B60:E60"/>
    <mergeCell ref="C45:E45"/>
    <mergeCell ref="B46:E46"/>
    <mergeCell ref="B48:E48"/>
    <mergeCell ref="B51:E51"/>
    <mergeCell ref="B52:E52"/>
    <mergeCell ref="B54:E54"/>
    <mergeCell ref="B55:B56"/>
    <mergeCell ref="C55:E56"/>
    <mergeCell ref="C57:E57"/>
    <mergeCell ref="C58:E58"/>
    <mergeCell ref="B59:E59"/>
    <mergeCell ref="C44:E44"/>
    <mergeCell ref="C22:E22"/>
    <mergeCell ref="B23:E23"/>
    <mergeCell ref="B26:E26"/>
    <mergeCell ref="B27:E27"/>
    <mergeCell ref="B33:E33"/>
    <mergeCell ref="B35:E35"/>
    <mergeCell ref="B39:C39"/>
    <mergeCell ref="B42:E42"/>
    <mergeCell ref="C43:E43"/>
    <mergeCell ref="C21:E21"/>
    <mergeCell ref="A1:B1"/>
    <mergeCell ref="C5:E5"/>
    <mergeCell ref="B6:D6"/>
    <mergeCell ref="B9:D9"/>
    <mergeCell ref="C11:E11"/>
    <mergeCell ref="B12:D12"/>
    <mergeCell ref="B15:C15"/>
    <mergeCell ref="B17:E17"/>
    <mergeCell ref="C18:E18"/>
    <mergeCell ref="C19:E19"/>
    <mergeCell ref="C20:E20"/>
  </mergeCell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83</vt:i4>
      </vt:variant>
      <vt:variant>
        <vt:lpstr>Named Ranges</vt:lpstr>
      </vt:variant>
      <vt:variant>
        <vt:i4>4</vt:i4>
      </vt:variant>
    </vt:vector>
  </HeadingPairs>
  <TitlesOfParts>
    <vt:vector size="87" baseType="lpstr">
      <vt:lpstr>EMKAY</vt:lpstr>
      <vt:lpstr>UNIVERSAL AUTOFOUNDRY</vt:lpstr>
      <vt:lpstr>BELLA CASA</vt:lpstr>
      <vt:lpstr>VISHAL BEARING</vt:lpstr>
      <vt:lpstr>ARAMBHAN</vt:lpstr>
      <vt:lpstr>RAGHAV</vt:lpstr>
      <vt:lpstr>MBAPL</vt:lpstr>
      <vt:lpstr>ADL</vt:lpstr>
      <vt:lpstr>PDL</vt:lpstr>
      <vt:lpstr>GICL</vt:lpstr>
      <vt:lpstr>DHANUKA</vt:lpstr>
      <vt:lpstr>ART NIRMAN</vt:lpstr>
      <vt:lpstr>KPL</vt:lpstr>
      <vt:lpstr>RMC</vt:lpstr>
      <vt:lpstr>GLOBAL EDUCATION</vt:lpstr>
      <vt:lpstr>LAXMI COTSPIN</vt:lpstr>
      <vt:lpstr>Dev IT</vt:lpstr>
      <vt:lpstr>VSCL</vt:lpstr>
      <vt:lpstr>GLOBE TEXTILE</vt:lpstr>
      <vt:lpstr>ACCORD SYNERGY</vt:lpstr>
      <vt:lpstr>CTL</vt:lpstr>
      <vt:lpstr>SHANTI OVERSEAS</vt:lpstr>
      <vt:lpstr>SUREVIN</vt:lpstr>
      <vt:lpstr>PASHUPATI</vt:lpstr>
      <vt:lpstr>SHARE INDIA</vt:lpstr>
      <vt:lpstr>RKEC</vt:lpstr>
      <vt:lpstr>D.P. ABHUSHAN</vt:lpstr>
      <vt:lpstr>ANI INTEGRATED</vt:lpstr>
      <vt:lpstr>DYNAMIC CABLES</vt:lpstr>
      <vt:lpstr>HINDCON</vt:lpstr>
      <vt:lpstr>TARACHAND</vt:lpstr>
      <vt:lpstr>DHRUV</vt:lpstr>
      <vt:lpstr>SONAM</vt:lpstr>
      <vt:lpstr>PARIN</vt:lpstr>
      <vt:lpstr>KRITHIKA</vt:lpstr>
      <vt:lpstr>MINDPOOL</vt:lpstr>
      <vt:lpstr>VR FILMS</vt:lpstr>
      <vt:lpstr>EVANS</vt:lpstr>
      <vt:lpstr>EARUM</vt:lpstr>
      <vt:lpstr>GIAN LIFE CARE LTD.</vt:lpstr>
      <vt:lpstr>HINDPRAKASH</vt:lpstr>
      <vt:lpstr>SM AUTO</vt:lpstr>
      <vt:lpstr>KMEW</vt:lpstr>
      <vt:lpstr>SURATWWALA</vt:lpstr>
      <vt:lpstr>EKI</vt:lpstr>
      <vt:lpstr>DU DIGITAL</vt:lpstr>
      <vt:lpstr>PREVEST</vt:lpstr>
      <vt:lpstr>JAINAM</vt:lpstr>
      <vt:lpstr>SVRL</vt:lpstr>
      <vt:lpstr>KNAGRI</vt:lpstr>
      <vt:lpstr>KRISHNADEF</vt:lpstr>
      <vt:lpstr>EIGHTY</vt:lpstr>
      <vt:lpstr>SILICON</vt:lpstr>
      <vt:lpstr>CARGOSOL</vt:lpstr>
      <vt:lpstr>VEDANT</vt:lpstr>
      <vt:lpstr>LLOYDS</vt:lpstr>
      <vt:lpstr>CARGOTRANS</vt:lpstr>
      <vt:lpstr>Concord</vt:lpstr>
      <vt:lpstr>Baheti</vt:lpstr>
      <vt:lpstr>Chaman</vt:lpstr>
      <vt:lpstr>Earthstahl</vt:lpstr>
      <vt:lpstr>LAbelkraft</vt:lpstr>
      <vt:lpstr>Macfos</vt:lpstr>
      <vt:lpstr>Systango</vt:lpstr>
      <vt:lpstr>VASA Denticity</vt:lpstr>
      <vt:lpstr>Hemant</vt:lpstr>
      <vt:lpstr>Greenchef</vt:lpstr>
      <vt:lpstr>KAKA</vt:lpstr>
      <vt:lpstr>Asarfi</vt:lpstr>
      <vt:lpstr>Kahan</vt:lpstr>
      <vt:lpstr>Madhusudan</vt:lpstr>
      <vt:lpstr>Saakshi</vt:lpstr>
      <vt:lpstr>Arabian Petroleum</vt:lpstr>
      <vt:lpstr>E-factor</vt:lpstr>
      <vt:lpstr>Paragon Fine</vt:lpstr>
      <vt:lpstr>Deepak Chemtex</vt:lpstr>
      <vt:lpstr>SJLOGISTIC</vt:lpstr>
      <vt:lpstr>SIYARAM</vt:lpstr>
      <vt:lpstr>Shanti Spintex</vt:lpstr>
      <vt:lpstr>Shri Balaji </vt:lpstr>
      <vt:lpstr>NEW SWAN</vt:lpstr>
      <vt:lpstr>HARSHDEEP</vt:lpstr>
      <vt:lpstr>Megatherm </vt:lpstr>
      <vt:lpstr>Concord!Print_Area</vt:lpstr>
      <vt:lpstr>KMEW!Print_Area</vt:lpstr>
      <vt:lpstr>KRISHNADEF!Print_Area</vt:lpstr>
      <vt:lpstr>PREVEST!Print_Area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2024-02-20T13:00:47Z</dcterms:modified>
</cp:coreProperties>
</file>